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0" windowWidth="15060" windowHeight="10185" tabRatio="951" firstSheet="42" activeTab="41"/>
  </bookViews>
  <sheets>
    <sheet name="2014_BGSMC_KIDNEY CADAVERIC" sheetId="1" r:id="rId1"/>
    <sheet name="2014_BGSMC_KIDNEY_LIVING" sheetId="2" r:id="rId2"/>
    <sheet name="2014_BGSMC_PANCREAS_AFTER_KDY" sheetId="3" r:id="rId3"/>
    <sheet name="2014_BGSMC_SIM__KIDNEY-PANCREAS" sheetId="4" r:id="rId4"/>
    <sheet name="2014_BGSMC_LIVER" sheetId="5" r:id="rId5"/>
    <sheet name="2014_MAYO_BMT_AUT_ADULT" sheetId="6" r:id="rId6"/>
    <sheet name="2014_MAYO_BMT_ALO_REL_ADULT_" sheetId="7" r:id="rId7"/>
    <sheet name="2014_MAYO_BMT_ALLO_UNR" sheetId="8" r:id="rId8"/>
    <sheet name="2014_MAYO_PHX_HEART" sheetId="9" r:id="rId9"/>
    <sheet name="2014_MAYO_SIMUL_CADV LIV KDY" sheetId="10" r:id="rId10"/>
    <sheet name="2014_MAYO_PHX_LIVER_ADULT" sheetId="11" r:id="rId11"/>
    <sheet name="2014_MAYO_SIMUL_KDY_PANCREAS" sheetId="12" r:id="rId12"/>
    <sheet name="2014_MAYO_PANCREAS_after_KDY" sheetId="13" r:id="rId13"/>
    <sheet name="2014_MAYO_KIDNEY_LIVING" sheetId="14" r:id="rId14"/>
    <sheet name="2014_MAYO_KIDNEY_CADAVERIC" sheetId="15" r:id="rId15"/>
    <sheet name="2014_PCH_KIDNEY_LIVING" sheetId="16" r:id="rId16"/>
    <sheet name="2014_PCH_KIDNEY_CADAVERIC" sheetId="17" r:id="rId17"/>
    <sheet name="2014_PCH_PED_BMT_AUTO" sheetId="18" r:id="rId18"/>
    <sheet name="2014_PCH_PED_BMT_ALLO_RELATED" sheetId="19" r:id="rId19"/>
    <sheet name="2014_PCH_PED_BMT_ALLO_UNREL_" sheetId="20" r:id="rId20"/>
    <sheet name="2014_PCH_PEDIATRIC_HEART" sheetId="21" r:id="rId21"/>
    <sheet name="2014_PCH_PEDIATRIC_LIVER_" sheetId="22" r:id="rId22"/>
    <sheet name="2014_SCTHLTH_CARE-SHEA_BMT_AUTO" sheetId="23" r:id="rId23"/>
    <sheet name="2014SCTHLTHCARE-SHEA_BMT_ALOREL" sheetId="24" r:id="rId24"/>
    <sheet name="2014SCTH_CARE-SHEA_BMT_ALOUNREL" sheetId="25" r:id="rId25"/>
    <sheet name="2014_ST_JOSEPHS_SINGLE_LUNG" sheetId="26" r:id="rId26"/>
    <sheet name="2014_ST_JOSEPHS_DOUBLE_LUNG" sheetId="27" r:id="rId27"/>
    <sheet name="2014_UCSD(RADY'S)_Living_Kidney" sheetId="28" r:id="rId28"/>
    <sheet name="2014_UCSD_(RADY)_CADAVERIC_KDNY" sheetId="29" r:id="rId29"/>
    <sheet name="2014_UCSD_(RADY)_PED CADV LIV _" sheetId="30" r:id="rId30"/>
    <sheet name="2014_UCSD_(RADY)_PED_AUTO_BMT" sheetId="31" r:id="rId31"/>
    <sheet name="2014_UCSD(RADY)__PED_ALLO_REL" sheetId="32" r:id="rId32"/>
    <sheet name="2014_UCSD(RADY)_PEDS_ALLO_UNREL" sheetId="33" r:id="rId33"/>
    <sheet name="2014_UCSD_(RADY)_PED_LIVING_LIV" sheetId="34" r:id="rId34"/>
    <sheet name="2014_UCSF_PED_ALLO_UNR_MUDSCID_" sheetId="35" r:id="rId35"/>
    <sheet name="2014_UCSF_PED_ALLO_REL_SCIDS_" sheetId="36" r:id="rId36"/>
    <sheet name="2014_UMC_BMT_AUTO" sheetId="37" r:id="rId37"/>
    <sheet name="2014_UMC_BMT_ALLO_RELATED" sheetId="38" r:id="rId38"/>
    <sheet name="2014_UMC_BMT_ALLO_UNRELATED" sheetId="39" r:id="rId39"/>
    <sheet name="2014_UMC_SINGLE_LUNG" sheetId="40" r:id="rId40"/>
    <sheet name="2014_UMC_DOUBLE_LUNG" sheetId="41" r:id="rId41"/>
    <sheet name="2014_UMC_HEART" sheetId="42" r:id="rId42"/>
    <sheet name="2014_UMC_HEART-LUNG" sheetId="43" r:id="rId43"/>
    <sheet name="2014_UMC_KIDNEY_CADAVERIC" sheetId="44" r:id="rId44"/>
    <sheet name="2014_UMC_KIDNEY_LIVING" sheetId="45" r:id="rId45"/>
    <sheet name="2014_UMC_PANCREAS_AFTER_KDY" sheetId="46" r:id="rId46"/>
    <sheet name="2014_UMC_SIMUL_PANCREAS_KIDNEY_" sheetId="47" r:id="rId47"/>
    <sheet name="2014_UMC_LIVER" sheetId="48" r:id="rId48"/>
    <sheet name="2014 UMC CADV SIM LIV KDY" sheetId="55" r:id="rId49"/>
    <sheet name="2014_UMC_Ped_Cad_Small_Bowel" sheetId="49" r:id="rId50"/>
    <sheet name="2014_UMC_Ped_Liv_Small_Bowel_" sheetId="50" r:id="rId51"/>
    <sheet name="2014_UMC_Ped_Multi-visceral_Cad" sheetId="51" r:id="rId52"/>
    <sheet name="2014_UMC_Ped_Multi-visceral_Liv" sheetId="52" r:id="rId53"/>
    <sheet name="Sheet1" sheetId="53" r:id="rId54"/>
  </sheets>
  <definedNames>
    <definedName name="_xlnm.Print_Area" localSheetId="48">'2014 UMC CADV SIM LIV KDY'!$A$1:$J$25</definedName>
    <definedName name="_xlnm.Print_Area" localSheetId="0">'2014_BGSMC_KIDNEY CADAVERIC'!$A$1:$J$32</definedName>
    <definedName name="_xlnm.Print_Area" localSheetId="1">'2014_BGSMC_KIDNEY_LIVING'!$A$1:$J$23</definedName>
    <definedName name="_xlnm.Print_Area" localSheetId="4">'2014_BGSMC_LIVER'!$A$1:$J$29</definedName>
    <definedName name="_xlnm.Print_Area" localSheetId="2">'2014_BGSMC_PANCREAS_AFTER_KDY'!$A$1:$K$34</definedName>
    <definedName name="_xlnm.Print_Area" localSheetId="3">'2014_BGSMC_SIM__KIDNEY-PANCREAS'!$A$1:$J$32</definedName>
    <definedName name="_xlnm.Print_Area" localSheetId="7">'2014_MAYO_BMT_ALLO_UNR'!$A$1:$K$34</definedName>
    <definedName name="_xlnm.Print_Area" localSheetId="6">'2014_MAYO_BMT_ALO_REL_ADULT_'!$A$1:$K$36</definedName>
    <definedName name="_xlnm.Print_Area" localSheetId="5">'2014_MAYO_BMT_AUT_ADULT'!$A$1:$K$33</definedName>
    <definedName name="_xlnm.Print_Area" localSheetId="14">'2014_MAYO_KIDNEY_CADAVERIC'!$A$1:$J$31</definedName>
    <definedName name="_xlnm.Print_Area" localSheetId="13">'2014_MAYO_KIDNEY_LIVING'!$A$1:$K$33</definedName>
    <definedName name="_xlnm.Print_Area" localSheetId="12">'2014_MAYO_PANCREAS_after_KDY'!$A$1:$O$44</definedName>
    <definedName name="_xlnm.Print_Area" localSheetId="8">'2014_MAYO_PHX_HEART'!$A$1:$K$29</definedName>
    <definedName name="_xlnm.Print_Area" localSheetId="10">'2014_MAYO_PHX_LIVER_ADULT'!$A$1:$J$36</definedName>
    <definedName name="_xlnm.Print_Area" localSheetId="9">'2014_MAYO_SIMUL_CADV LIV KDY'!$A$1:$K$41</definedName>
    <definedName name="_xlnm.Print_Area" localSheetId="11">'2014_MAYO_SIMUL_KDY_PANCREAS'!$A$1:$K$30</definedName>
    <definedName name="_xlnm.Print_Area" localSheetId="16">'2014_PCH_KIDNEY_CADAVERIC'!$A$1:$J$34</definedName>
    <definedName name="_xlnm.Print_Area" localSheetId="15">'2014_PCH_KIDNEY_LIVING'!$A$1:$J$34</definedName>
    <definedName name="_xlnm.Print_Area" localSheetId="18">'2014_PCH_PED_BMT_ALLO_RELATED'!$A$1:$K$31</definedName>
    <definedName name="_xlnm.Print_Area" localSheetId="19">'2014_PCH_PED_BMT_ALLO_UNREL_'!$A$1:$K$33</definedName>
    <definedName name="_xlnm.Print_Area" localSheetId="17">'2014_PCH_PED_BMT_AUTO'!$A$1:$J$34</definedName>
    <definedName name="_xlnm.Print_Area" localSheetId="20">'2014_PCH_PEDIATRIC_HEART'!$A$1:$L$32</definedName>
    <definedName name="_xlnm.Print_Area" localSheetId="21">'2014_PCH_PEDIATRIC_LIVER_'!$A$1:$K$32</definedName>
    <definedName name="_xlnm.Print_Area" localSheetId="22">'2014_SCTHLTH_CARE-SHEA_BMT_AUTO'!$A$1:$L$31</definedName>
    <definedName name="_xlnm.Print_Area" localSheetId="26">'2014_ST_JOSEPHS_DOUBLE_LUNG'!$A$1:$O$29</definedName>
    <definedName name="_xlnm.Print_Area" localSheetId="25">'2014_ST_JOSEPHS_SINGLE_LUNG'!$A$1:$L$30</definedName>
    <definedName name="_xlnm.Print_Area" localSheetId="31">'2014_UCSD(RADY)__PED_ALLO_REL'!$A$1:$K$32</definedName>
    <definedName name="_xlnm.Print_Area" localSheetId="32">'2014_UCSD(RADY)_PEDS_ALLO_UNREL'!$A$1:$K$32</definedName>
    <definedName name="_xlnm.Print_Area" localSheetId="27">'2014_UCSD(RADY''S)_Living_Kidney'!$A$1:$J$28</definedName>
    <definedName name="_xlnm.Print_Area" localSheetId="28">'2014_UCSD_(RADY)_CADAVERIC_KDNY'!$A$1:$J$34</definedName>
    <definedName name="_xlnm.Print_Area" localSheetId="29">'2014_UCSD_(RADY)_PED CADV LIV _'!$A$1:$J$34</definedName>
    <definedName name="_xlnm.Print_Area" localSheetId="30">'2014_UCSD_(RADY)_PED_AUTO_BMT'!$A$1:$K$33</definedName>
    <definedName name="_xlnm.Print_Area" localSheetId="33">'2014_UCSD_(RADY)_PED_LIVING_LIV'!$A$1:$K$28</definedName>
    <definedName name="_xlnm.Print_Area" localSheetId="35">'2014_UCSF_PED_ALLO_REL_SCIDS_'!$A$1:$J$35</definedName>
    <definedName name="_xlnm.Print_Area" localSheetId="34">'2014_UCSF_PED_ALLO_UNR_MUDSCID_'!$A$1:$J$33</definedName>
    <definedName name="_xlnm.Print_Area" localSheetId="37">'2014_UMC_BMT_ALLO_RELATED'!$A$1:$J$33</definedName>
    <definedName name="_xlnm.Print_Area" localSheetId="38">'2014_UMC_BMT_ALLO_UNRELATED'!$A$1:$K$33</definedName>
    <definedName name="_xlnm.Print_Area" localSheetId="36">'2014_UMC_BMT_AUTO'!$A$1:$J$32</definedName>
    <definedName name="_xlnm.Print_Area" localSheetId="40">'2014_UMC_DOUBLE_LUNG'!$A$1:$J$29</definedName>
    <definedName name="_xlnm.Print_Area" localSheetId="41">'2014_UMC_HEART'!$A$1:$K$30</definedName>
    <definedName name="_xlnm.Print_Area" localSheetId="42">'2014_UMC_HEART-LUNG'!$A$1:$J$34</definedName>
    <definedName name="_xlnm.Print_Area" localSheetId="43">'2014_UMC_KIDNEY_CADAVERIC'!$A$1:$J$34</definedName>
    <definedName name="_xlnm.Print_Area" localSheetId="44">'2014_UMC_KIDNEY_LIVING'!$A$1:$J$32</definedName>
    <definedName name="_xlnm.Print_Area" localSheetId="47">'2014_UMC_LIVER'!$A$1:$J$36</definedName>
    <definedName name="_xlnm.Print_Area" localSheetId="45">'2014_UMC_PANCREAS_AFTER_KDY'!$A$1:$J$31</definedName>
    <definedName name="_xlnm.Print_Area" localSheetId="49">'2014_UMC_Ped_Cad_Small_Bowel'!$A$1:$K$41</definedName>
    <definedName name="_xlnm.Print_Area" localSheetId="50">'2014_UMC_Ped_Liv_Small_Bowel_'!$A$1:$K$40</definedName>
    <definedName name="_xlnm.Print_Area" localSheetId="51">'2014_UMC_Ped_Multi-visceral_Cad'!$A$1:$K$41</definedName>
    <definedName name="_xlnm.Print_Area" localSheetId="52">'2014_UMC_Ped_Multi-visceral_Liv'!$A$1:$K$44</definedName>
    <definedName name="_xlnm.Print_Area" localSheetId="46">'2014_UMC_SIMUL_PANCREAS_KIDNEY_'!$A$1:$J$33</definedName>
    <definedName name="_xlnm.Print_Area" localSheetId="39">'2014_UMC_SINGLE_LUNG'!$A$1:$J$30</definedName>
    <definedName name="_xlnm.Print_Area" localSheetId="24">'2014SCTH_CARE-SHEA_BMT_ALOUNREL'!$A$1:$K$53</definedName>
    <definedName name="_xlnm.Print_Area" localSheetId="23">'2014SCTHLTHCARE-SHEA_BMT_ALOREL'!$A$1:$L$32</definedName>
  </definedNames>
  <calcPr calcId="145621"/>
</workbook>
</file>

<file path=xl/calcChain.xml><?xml version="1.0" encoding="utf-8"?>
<calcChain xmlns="http://schemas.openxmlformats.org/spreadsheetml/2006/main">
  <c r="D17" i="52" l="1"/>
  <c r="C17" i="52"/>
  <c r="C16" i="52"/>
  <c r="D16" i="52" s="1"/>
  <c r="D15" i="52"/>
  <c r="C15" i="52"/>
  <c r="C14" i="52"/>
  <c r="D14" i="52" s="1"/>
  <c r="D18" i="52" s="1"/>
  <c r="D16" i="51"/>
  <c r="C16" i="51"/>
  <c r="C15" i="51"/>
  <c r="D15" i="51" s="1"/>
  <c r="D14" i="51"/>
  <c r="C14" i="51"/>
  <c r="C13" i="51"/>
  <c r="D13" i="51" s="1"/>
  <c r="D17" i="51" s="1"/>
  <c r="C16" i="50"/>
  <c r="D16" i="50" s="1"/>
  <c r="C15" i="50"/>
  <c r="D15" i="50" s="1"/>
  <c r="C14" i="50"/>
  <c r="D14" i="50" s="1"/>
  <c r="D17" i="50" s="1"/>
  <c r="D13" i="50"/>
  <c r="C13" i="50"/>
  <c r="C15" i="49"/>
  <c r="D15" i="49" s="1"/>
  <c r="D14" i="49"/>
  <c r="C14" i="49"/>
  <c r="C13" i="49"/>
  <c r="D13" i="49" s="1"/>
  <c r="D12" i="49"/>
  <c r="C12" i="49"/>
  <c r="D18" i="55"/>
  <c r="D17" i="48"/>
  <c r="C17" i="48"/>
  <c r="C16" i="48"/>
  <c r="D16" i="48" s="1"/>
  <c r="D15" i="48"/>
  <c r="C15" i="48"/>
  <c r="C14" i="48"/>
  <c r="D14" i="48" s="1"/>
  <c r="D18" i="48" s="1"/>
  <c r="C17" i="47"/>
  <c r="D17" i="47" s="1"/>
  <c r="C16" i="47"/>
  <c r="D16" i="47" s="1"/>
  <c r="C15" i="47"/>
  <c r="D15" i="47" s="1"/>
  <c r="C14" i="47"/>
  <c r="D14" i="47" s="1"/>
  <c r="D18" i="47" s="1"/>
  <c r="C18" i="46"/>
  <c r="D18" i="46" s="1"/>
  <c r="D17" i="46"/>
  <c r="C17" i="46"/>
  <c r="C16" i="46"/>
  <c r="D16" i="46" s="1"/>
  <c r="D15" i="46"/>
  <c r="D19" i="46" s="1"/>
  <c r="C15" i="46"/>
  <c r="C16" i="45"/>
  <c r="D16" i="45" s="1"/>
  <c r="C15" i="45"/>
  <c r="D15" i="45" s="1"/>
  <c r="D16" i="44"/>
  <c r="C16" i="44"/>
  <c r="C15" i="44"/>
  <c r="D15" i="44" s="1"/>
  <c r="D17" i="44" s="1"/>
  <c r="C14" i="43"/>
  <c r="D14" i="43" s="1"/>
  <c r="C13" i="43"/>
  <c r="D13" i="43" s="1"/>
  <c r="C12" i="43"/>
  <c r="D12" i="43" s="1"/>
  <c r="C11" i="43"/>
  <c r="D11" i="43" s="1"/>
  <c r="C15" i="42"/>
  <c r="D15" i="42" s="1"/>
  <c r="D14" i="42"/>
  <c r="C14" i="42"/>
  <c r="C13" i="42"/>
  <c r="D13" i="42" s="1"/>
  <c r="D12" i="42"/>
  <c r="D16" i="42" s="1"/>
  <c r="C12" i="42"/>
  <c r="C18" i="41"/>
  <c r="D18" i="41" s="1"/>
  <c r="C17" i="41"/>
  <c r="D17" i="41" s="1"/>
  <c r="D16" i="41"/>
  <c r="C16" i="41"/>
  <c r="C15" i="41"/>
  <c r="D15" i="41" s="1"/>
  <c r="D17" i="40"/>
  <c r="C17" i="40"/>
  <c r="C16" i="40"/>
  <c r="D16" i="40" s="1"/>
  <c r="D15" i="40"/>
  <c r="D18" i="40" s="1"/>
  <c r="C15" i="40"/>
  <c r="C14" i="40"/>
  <c r="D14" i="40" s="1"/>
  <c r="C19" i="39"/>
  <c r="D19" i="39" s="1"/>
  <c r="D18" i="39"/>
  <c r="C18" i="39"/>
  <c r="C17" i="39"/>
  <c r="D17" i="39" s="1"/>
  <c r="D20" i="39" s="1"/>
  <c r="D15" i="39"/>
  <c r="C15" i="39"/>
  <c r="C14" i="39"/>
  <c r="D14" i="39" s="1"/>
  <c r="D19" i="38"/>
  <c r="C19" i="38"/>
  <c r="C18" i="38"/>
  <c r="D18" i="38" s="1"/>
  <c r="D17" i="38"/>
  <c r="C17" i="38"/>
  <c r="C16" i="38"/>
  <c r="D16" i="38" s="1"/>
  <c r="D15" i="38"/>
  <c r="C15" i="38"/>
  <c r="C14" i="38"/>
  <c r="D14" i="38" s="1"/>
  <c r="D20" i="38" s="1"/>
  <c r="C18" i="37"/>
  <c r="D18" i="37" s="1"/>
  <c r="C17" i="37"/>
  <c r="D17" i="37" s="1"/>
  <c r="C16" i="37"/>
  <c r="D16" i="37" s="1"/>
  <c r="C15" i="37"/>
  <c r="D15" i="37" s="1"/>
  <c r="C14" i="37"/>
  <c r="D14" i="37" s="1"/>
  <c r="D19" i="37" s="1"/>
  <c r="D19" i="36"/>
  <c r="C19" i="36"/>
  <c r="C18" i="36"/>
  <c r="D18" i="36" s="1"/>
  <c r="D17" i="36"/>
  <c r="C17" i="36"/>
  <c r="C16" i="36"/>
  <c r="D16" i="36" s="1"/>
  <c r="D15" i="36"/>
  <c r="D20" i="36" s="1"/>
  <c r="C15" i="36"/>
  <c r="C14" i="36"/>
  <c r="D14" i="36" s="1"/>
  <c r="C18" i="35"/>
  <c r="D18" i="35" s="1"/>
  <c r="D17" i="35"/>
  <c r="D19" i="35" s="1"/>
  <c r="C17" i="35"/>
  <c r="C16" i="35"/>
  <c r="D16" i="35" s="1"/>
  <c r="D14" i="35"/>
  <c r="C14" i="35"/>
  <c r="C13" i="35"/>
  <c r="D13" i="35" s="1"/>
  <c r="D18" i="34"/>
  <c r="C18" i="34"/>
  <c r="C17" i="34"/>
  <c r="D17" i="34" s="1"/>
  <c r="D16" i="34"/>
  <c r="C16" i="34"/>
  <c r="C15" i="34"/>
  <c r="D15" i="34" s="1"/>
  <c r="D19" i="34" s="1"/>
  <c r="C20" i="33"/>
  <c r="D20" i="33" s="1"/>
  <c r="D18" i="33"/>
  <c r="C18" i="33"/>
  <c r="C17" i="33"/>
  <c r="D17" i="33" s="1"/>
  <c r="C16" i="33"/>
  <c r="D16" i="33" s="1"/>
  <c r="C15" i="33"/>
  <c r="D15" i="33" s="1"/>
  <c r="D22" i="33" s="1"/>
  <c r="D15" i="32"/>
  <c r="D17" i="32" s="1"/>
  <c r="C15" i="32"/>
  <c r="C13" i="32"/>
  <c r="D13" i="32" s="1"/>
  <c r="D12" i="32"/>
  <c r="C12" i="32"/>
  <c r="C11" i="32"/>
  <c r="D11" i="32" s="1"/>
  <c r="D10" i="32"/>
  <c r="C10" i="32"/>
  <c r="C17" i="31"/>
  <c r="D17" i="31" s="1"/>
  <c r="C15" i="31"/>
  <c r="D15" i="31" s="1"/>
  <c r="C14" i="31"/>
  <c r="D14" i="31" s="1"/>
  <c r="C13" i="31"/>
  <c r="D13" i="31" s="1"/>
  <c r="D17" i="30"/>
  <c r="C17" i="30"/>
  <c r="C16" i="30"/>
  <c r="D16" i="30" s="1"/>
  <c r="D15" i="30"/>
  <c r="D18" i="30" s="1"/>
  <c r="C15" i="30"/>
  <c r="C14" i="30"/>
  <c r="D14" i="30" s="1"/>
  <c r="C16" i="29"/>
  <c r="D16" i="29" s="1"/>
  <c r="C15" i="29"/>
  <c r="D15" i="29" s="1"/>
  <c r="D17" i="29" s="1"/>
  <c r="D15" i="28"/>
  <c r="C15" i="28"/>
  <c r="D14" i="28"/>
  <c r="C14" i="28"/>
  <c r="D13" i="28"/>
  <c r="D16" i="28" s="1"/>
  <c r="C13" i="28"/>
  <c r="C18" i="27"/>
  <c r="D18" i="27" s="1"/>
  <c r="D17" i="27"/>
  <c r="C17" i="27"/>
  <c r="C16" i="27"/>
  <c r="D16" i="27" s="1"/>
  <c r="C15" i="27"/>
  <c r="D15" i="27" s="1"/>
  <c r="D19" i="27" s="1"/>
  <c r="D18" i="26"/>
  <c r="C18" i="26"/>
  <c r="D17" i="26"/>
  <c r="C17" i="26"/>
  <c r="D16" i="26"/>
  <c r="C16" i="26"/>
  <c r="D15" i="26"/>
  <c r="C15" i="26"/>
  <c r="C20" i="25"/>
  <c r="D20" i="25" s="1"/>
  <c r="C19" i="25"/>
  <c r="D19" i="25" s="1"/>
  <c r="D18" i="25"/>
  <c r="C18" i="25"/>
  <c r="C16" i="25"/>
  <c r="D16" i="25" s="1"/>
  <c r="D15" i="25"/>
  <c r="C15" i="25"/>
  <c r="C20" i="24"/>
  <c r="D20" i="24" s="1"/>
  <c r="D19" i="24"/>
  <c r="C19" i="24"/>
  <c r="C18" i="24"/>
  <c r="D18" i="24" s="1"/>
  <c r="D17" i="24"/>
  <c r="C17" i="24"/>
  <c r="C16" i="24"/>
  <c r="D16" i="24" s="1"/>
  <c r="D15" i="24"/>
  <c r="C15" i="24"/>
  <c r="C19" i="23"/>
  <c r="D19" i="23" s="1"/>
  <c r="C18" i="23"/>
  <c r="D18" i="23" s="1"/>
  <c r="C17" i="23"/>
  <c r="D17" i="23" s="1"/>
  <c r="C16" i="23"/>
  <c r="D16" i="23" s="1"/>
  <c r="D15" i="23"/>
  <c r="D20" i="23" s="1"/>
  <c r="C15" i="23"/>
  <c r="C15" i="22"/>
  <c r="D15" i="22" s="1"/>
  <c r="D14" i="22"/>
  <c r="C14" i="22"/>
  <c r="C13" i="22"/>
  <c r="D13" i="22" s="1"/>
  <c r="C16" i="21"/>
  <c r="D16" i="21" s="1"/>
  <c r="C15" i="21"/>
  <c r="D15" i="21" s="1"/>
  <c r="C14" i="21"/>
  <c r="D14" i="21" s="1"/>
  <c r="D17" i="21" s="1"/>
  <c r="D17" i="20"/>
  <c r="C17" i="20"/>
  <c r="D16" i="20"/>
  <c r="C16" i="20"/>
  <c r="D15" i="20"/>
  <c r="D18" i="20" s="1"/>
  <c r="C15" i="20"/>
  <c r="D13" i="20"/>
  <c r="C13" i="20"/>
  <c r="D12" i="20"/>
  <c r="C12" i="20"/>
  <c r="C17" i="19"/>
  <c r="D17" i="19" s="1"/>
  <c r="C16" i="19"/>
  <c r="D16" i="19" s="1"/>
  <c r="D15" i="19"/>
  <c r="C15" i="19"/>
  <c r="C14" i="19"/>
  <c r="D14" i="19" s="1"/>
  <c r="C13" i="19"/>
  <c r="D13" i="19" s="1"/>
  <c r="C12" i="19"/>
  <c r="D12" i="19" s="1"/>
  <c r="D18" i="18"/>
  <c r="C18" i="18"/>
  <c r="C17" i="18"/>
  <c r="D17" i="18" s="1"/>
  <c r="D16" i="18"/>
  <c r="C16" i="18"/>
  <c r="C15" i="18"/>
  <c r="D15" i="18" s="1"/>
  <c r="D14" i="18"/>
  <c r="C14" i="18"/>
  <c r="C15" i="17"/>
  <c r="D15" i="17" s="1"/>
  <c r="C14" i="17"/>
  <c r="D14" i="17" s="1"/>
  <c r="D16" i="17" s="1"/>
  <c r="D17" i="16"/>
  <c r="C17" i="16"/>
  <c r="D16" i="16"/>
  <c r="C16" i="16"/>
  <c r="D15" i="16"/>
  <c r="D18" i="16" s="1"/>
  <c r="C15" i="16"/>
  <c r="C14" i="15"/>
  <c r="D14" i="15" s="1"/>
  <c r="D15" i="15" s="1"/>
  <c r="C13" i="15"/>
  <c r="D13" i="15" s="1"/>
  <c r="D16" i="14"/>
  <c r="C16" i="14"/>
  <c r="C15" i="14"/>
  <c r="D15" i="14" s="1"/>
  <c r="D14" i="14"/>
  <c r="C14" i="14"/>
  <c r="C13" i="14"/>
  <c r="D13" i="14" s="1"/>
  <c r="C18" i="13"/>
  <c r="D18" i="13" s="1"/>
  <c r="C17" i="13"/>
  <c r="D17" i="13" s="1"/>
  <c r="C16" i="13"/>
  <c r="D16" i="13" s="1"/>
  <c r="C15" i="13"/>
  <c r="D15" i="13" s="1"/>
  <c r="D14" i="12"/>
  <c r="C14" i="12"/>
  <c r="D13" i="12"/>
  <c r="C13" i="12"/>
  <c r="D12" i="12"/>
  <c r="C12" i="12"/>
  <c r="D11" i="12"/>
  <c r="C11" i="12"/>
  <c r="C18" i="11"/>
  <c r="D18" i="11" s="1"/>
  <c r="C17" i="11"/>
  <c r="D17" i="11" s="1"/>
  <c r="D16" i="11"/>
  <c r="D19" i="11" s="1"/>
  <c r="C16" i="11"/>
  <c r="C15" i="11"/>
  <c r="D15" i="11" s="1"/>
  <c r="D19" i="10"/>
  <c r="C19" i="10"/>
  <c r="C18" i="10"/>
  <c r="D18" i="10" s="1"/>
  <c r="D17" i="10"/>
  <c r="C17" i="10"/>
  <c r="C16" i="10"/>
  <c r="D16" i="10" s="1"/>
  <c r="D20" i="10" s="1"/>
  <c r="C15" i="9"/>
  <c r="D15" i="9" s="1"/>
  <c r="C14" i="9"/>
  <c r="D14" i="9" s="1"/>
  <c r="C13" i="9"/>
  <c r="D13" i="9" s="1"/>
  <c r="C12" i="9"/>
  <c r="D12" i="9" s="1"/>
  <c r="D16" i="9" s="1"/>
  <c r="C20" i="8"/>
  <c r="D20" i="8" s="1"/>
  <c r="D18" i="8"/>
  <c r="C18" i="8"/>
  <c r="C17" i="8"/>
  <c r="D17" i="8" s="1"/>
  <c r="D19" i="8" s="1"/>
  <c r="D16" i="8"/>
  <c r="C16" i="8"/>
  <c r="C14" i="8"/>
  <c r="D14" i="8" s="1"/>
  <c r="D13" i="8"/>
  <c r="C13" i="8"/>
  <c r="C21" i="7"/>
  <c r="D21" i="7" s="1"/>
  <c r="C19" i="7"/>
  <c r="D19" i="7" s="1"/>
  <c r="C18" i="7"/>
  <c r="D18" i="7" s="1"/>
  <c r="C17" i="7"/>
  <c r="D17" i="7" s="1"/>
  <c r="C16" i="7"/>
  <c r="D16" i="7" s="1"/>
  <c r="C15" i="7"/>
  <c r="D15" i="7" s="1"/>
  <c r="C14" i="7"/>
  <c r="D14" i="7" s="1"/>
  <c r="D20" i="7" s="1"/>
  <c r="C18" i="6"/>
  <c r="D18" i="6" s="1"/>
  <c r="D16" i="6"/>
  <c r="C16" i="6"/>
  <c r="C15" i="6"/>
  <c r="D15" i="6" s="1"/>
  <c r="D14" i="6"/>
  <c r="C14" i="6"/>
  <c r="C13" i="6"/>
  <c r="D13" i="6" s="1"/>
  <c r="D12" i="6"/>
  <c r="C12" i="6"/>
  <c r="D16" i="5"/>
  <c r="C16" i="5"/>
  <c r="C15" i="5"/>
  <c r="D15" i="5" s="1"/>
  <c r="C14" i="5"/>
  <c r="D14" i="5" s="1"/>
  <c r="D17" i="5" s="1"/>
  <c r="C13" i="5"/>
  <c r="D13" i="5" s="1"/>
  <c r="D18" i="4"/>
  <c r="C18" i="4"/>
  <c r="C17" i="4"/>
  <c r="D17" i="4" s="1"/>
  <c r="D16" i="4"/>
  <c r="C16" i="4"/>
  <c r="C15" i="4"/>
  <c r="D15" i="4" s="1"/>
  <c r="D19" i="4" s="1"/>
  <c r="C18" i="3"/>
  <c r="D18" i="3" s="1"/>
  <c r="C17" i="3"/>
  <c r="D17" i="3" s="1"/>
  <c r="C16" i="3"/>
  <c r="D16" i="3" s="1"/>
  <c r="D15" i="3"/>
  <c r="D19" i="3" s="1"/>
  <c r="C15" i="3"/>
  <c r="C17" i="2"/>
  <c r="D17" i="2" s="1"/>
  <c r="D16" i="2"/>
  <c r="C16" i="2"/>
  <c r="C15" i="2"/>
  <c r="D15" i="2" s="1"/>
  <c r="C13" i="1"/>
  <c r="D13" i="1" s="1"/>
  <c r="C12" i="1"/>
  <c r="D12" i="1" s="1"/>
  <c r="D14" i="1" s="1"/>
  <c r="D15" i="43" l="1"/>
  <c r="D18" i="2"/>
  <c r="D19" i="13"/>
  <c r="D17" i="14"/>
  <c r="D19" i="18"/>
  <c r="D18" i="19"/>
  <c r="D16" i="22"/>
  <c r="D21" i="25"/>
  <c r="D17" i="6"/>
  <c r="D15" i="12"/>
  <c r="D19" i="26"/>
  <c r="D21" i="24"/>
  <c r="D19" i="31"/>
  <c r="D18" i="45"/>
  <c r="D20" i="41"/>
  <c r="D16" i="49"/>
</calcChain>
</file>

<file path=xl/sharedStrings.xml><?xml version="1.0" encoding="utf-8"?>
<sst xmlns="http://schemas.openxmlformats.org/spreadsheetml/2006/main" count="1008" uniqueCount="248">
  <si>
    <t>BANNER - SAMARITAN MEDICAL CENTER</t>
  </si>
  <si>
    <t>EFFECTIVE 10/01/2013 THROUGH 9/30/2014</t>
  </si>
  <si>
    <t>TRANSPLANT FACILITY ID# 529985</t>
  </si>
  <si>
    <t>CADAVERIC KIDNEY</t>
  </si>
  <si>
    <t>ADULTS</t>
  </si>
  <si>
    <t xml:space="preserve">  COMPONENTS</t>
  </si>
  <si>
    <t>Calculation Column (S/B Hidden)</t>
  </si>
  <si>
    <t>INCLUSIVE RATE</t>
  </si>
  <si>
    <t xml:space="preserve">TRANSPLANT EVALUATION </t>
  </si>
  <si>
    <t>PREP &amp; TRANSPLANT UP TO AND INCLUDING DAY 10 OF INPATIENT CONVALESCENT CARE.</t>
  </si>
  <si>
    <t>ROOM &amp; BOARD-PER DIEM</t>
  </si>
  <si>
    <t>CARE GIVER-PER DIEM</t>
  </si>
  <si>
    <t>Percent Change Rows (s/b hidden) must be at least 100%</t>
  </si>
  <si>
    <t>LIVING DONOR KIDNEY TRANSPLANT CONTRACT (KDY)</t>
  </si>
  <si>
    <t>LIVING DONOR KIDNEY</t>
  </si>
  <si>
    <t>TRANSPLANT EVALUATION AND DONOR TESTING</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</si>
  <si>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</si>
  <si>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</si>
  <si>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</si>
  <si>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</si>
  <si>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PANCREAS AFTER KIDNEY</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</si>
  <si>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</si>
  <si>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</si>
  <si>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</si>
  <si>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</si>
  <si>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</si>
  <si>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</si>
  <si>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</si>
  <si>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</si>
  <si>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</si>
  <si>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</si>
  <si>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</si>
  <si>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</si>
  <si>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</si>
  <si>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</si>
  <si>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</si>
  <si>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</si>
  <si>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</si>
  <si>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</si>
  <si>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</si>
  <si>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</si>
  <si>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</si>
  <si>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</si>
  <si>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</si>
  <si>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</si>
  <si>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 xml:space="preserve">CONSULT DATE </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</si>
  <si>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</si>
  <si>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</si>
  <si>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</si>
  <si>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</si>
  <si>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</si>
  <si>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</si>
  <si>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</si>
  <si>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</si>
  <si>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</si>
  <si>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</si>
  <si>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HEART **</t>
  </si>
  <si>
    <t>TOTAL HEART</t>
  </si>
  <si>
    <t>ASSISTIVE DEVICE: (CAD/VAD) ***</t>
  </si>
  <si>
    <t>Invoice plus 10%</t>
  </si>
  <si>
    <t>**Heart cases will be reimbursed at case rate unless total billed charges for components #2-#4 (Prep &amp; transplant through follow up care through day 60) exceeds $250,000. Then all charges over $250,000 will be reimbursed at 50% of billed charges.</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</si>
  <si>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</si>
  <si>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</si>
  <si>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</si>
  <si>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</si>
  <si>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</si>
  <si>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</si>
  <si>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</si>
  <si>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</si>
  <si>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</si>
  <si>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</si>
  <si>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Simultaneous Kidney Pancreas</t>
  </si>
  <si>
    <t xml:space="preserve">ADULTS </t>
  </si>
  <si>
    <t>TOTAL(through 60 days)</t>
  </si>
  <si>
    <t>Includes a 30 day supply of medication post transplant</t>
  </si>
  <si>
    <t>PANCREAS AFTER KIDNEY TRANSPLANT CONTRACT (PAK)</t>
  </si>
  <si>
    <t>Pancreas after Kidney</t>
  </si>
  <si>
    <t xml:space="preserve">TRANSPLANT EVALUATION  </t>
  </si>
  <si>
    <t>KIDNEY LIVING DONOR TRANSPLANT CONTRACT (KDY)</t>
  </si>
  <si>
    <t>KIDNEY LIVING DONOR</t>
  </si>
  <si>
    <r>
      <t xml:space="preserve">TRANSPLANT EVALUATION </t>
    </r>
    <r>
      <rPr>
        <b/>
        <sz val="10"/>
        <color rgb="FF000000"/>
        <rFont val="Arial"/>
        <family val="2"/>
      </rPr>
      <t xml:space="preserve"> </t>
    </r>
  </si>
  <si>
    <t>PREP AND TRANSPLANT UP TO AND INCLUDING DAY 10 OF INPATIENT CONVALESCENT SERVICES</t>
  </si>
  <si>
    <t>LIVING DONOR SURGERY AND INPATIENT RECOVERY UP TO AND INCLUDING DAY 3 OF INPATIENT CONVALESCENT SERVICES</t>
  </si>
  <si>
    <t>LIVING DONOR EVALUATION</t>
  </si>
  <si>
    <t>TOTAL KIDNEY LIVING DONOR</t>
  </si>
  <si>
    <t>KIDNEY CADAVERIC DONOR</t>
  </si>
  <si>
    <t>TRANSPLANT EVALUATION</t>
  </si>
  <si>
    <t>TOTAL KIDNEY DECEASED DONOR</t>
  </si>
  <si>
    <t>PHOENIX CHILDREN'S HOSPITAL</t>
  </si>
  <si>
    <t>KIDNEY LIVING DONOR TRANSPLANT CONTRACT (PKY)</t>
  </si>
  <si>
    <t>TRANSPLANT FACILITY ID# 706707</t>
  </si>
  <si>
    <t>PEDIATRIC</t>
  </si>
  <si>
    <t>TRANSPLANT EVALUATION &amp; DONOR TESTING</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</si>
  <si>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</si>
  <si>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</si>
  <si>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</si>
  <si>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</si>
  <si>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</si>
  <si>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</si>
  <si>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</si>
  <si>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Outliers:  Matched Unrelated allogeneic (MUDS) and Severe Immune Syndrome (SCIDS) cases will be reimbursed at case rates unless billed charges exceed $200,000.  The case rate will cover the first $200,000 of charges then charges greater than $200,000 will be reimbursed at 50% of billed charges.</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</si>
  <si>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</si>
  <si>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</si>
  <si>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</si>
  <si>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</si>
  <si>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</si>
  <si>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</si>
  <si>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</si>
  <si>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</si>
  <si>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</si>
  <si>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AHCCCS Fee Schedule</t>
  </si>
  <si>
    <t>TOTAL DOUBLE LUNG</t>
  </si>
  <si>
    <t>Outlier:  Heart cases will be reimbursed at case rate unless total billed charges for components B through D (prep and transplant through follow up care on day 60) exceed $1,200,000.  If total billed charges exceed $1,200,000 then outlier reimbursement is the total billed charges above $1,200,000 times the AHCCCS cost to charge ratio (in effect on the begin date of the prep and transplant component) for Phoenix Children's Hospital.</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</si>
  <si>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</si>
  <si>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</si>
  <si>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AHCCCS FEE SCHEDULE</t>
  </si>
  <si>
    <t>Evaluation AHCCCS FFS Reimbursement Calculation:</t>
  </si>
  <si>
    <r>
      <rPr>
        <b/>
        <i/>
        <sz val="9"/>
        <color rgb="FF000000"/>
        <rFont val="Arial"/>
        <family val="2"/>
      </rPr>
      <t>Inpatient</t>
    </r>
    <r>
      <rPr>
        <sz val="9"/>
        <color rgb="FF000000"/>
        <rFont val="Arial"/>
        <family val="2"/>
      </rPr>
      <t xml:space="preserve">: AHCCCS FFS Hospital Tier level, per day. Physician </t>
    </r>
  </si>
  <si>
    <t xml:space="preserve">services paid at AHCCCS FFS rate.  AHCCCS FFS Outlier </t>
  </si>
  <si>
    <t>provision does not apply for this component.</t>
  </si>
  <si>
    <r>
      <rPr>
        <b/>
        <i/>
        <sz val="9"/>
        <color rgb="FF000000"/>
        <rFont val="Arial"/>
        <family val="2"/>
      </rPr>
      <t>Outpatient</t>
    </r>
    <r>
      <rPr>
        <b/>
        <sz val="9"/>
        <color rgb="FF000000"/>
        <rFont val="Arial"/>
        <family val="2"/>
      </rPr>
      <t xml:space="preserve">: </t>
    </r>
    <r>
      <rPr>
        <sz val="9"/>
        <color rgb="FF000000"/>
        <rFont val="Arial"/>
        <family val="2"/>
      </rPr>
      <t>AHCCCS FFS Outpatient fee schedule, per</t>
    </r>
  </si>
  <si>
    <t>service. Physician services paid at AHCCCS FFS rate.</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</si>
  <si>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</si>
  <si>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</si>
  <si>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</si>
  <si>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</si>
  <si>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</si>
  <si>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</si>
  <si>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</si>
  <si>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</si>
  <si>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</si>
  <si>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</si>
  <si>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</si>
  <si>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</si>
  <si>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</si>
  <si>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</si>
  <si>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ST. JOSEPH'S HOSPITAL AND MEDICAL CENTER-PHOENIX</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</si>
  <si>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</si>
  <si>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</si>
  <si>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</si>
  <si>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</si>
  <si>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</si>
  <si>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</si>
  <si>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</si>
  <si>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</si>
  <si>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</si>
  <si>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</si>
  <si>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</si>
  <si>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</si>
  <si>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</si>
  <si>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</si>
  <si>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</si>
  <si>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</si>
  <si>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</si>
  <si>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</si>
  <si>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</si>
  <si>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</si>
  <si>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</si>
  <si>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FOLLOW UP CARE - 10 day blocks after the first 60 days post-transplant or portion thereof, but not past 100 days post-transplant</t>
  </si>
  <si>
    <t>CAREGIVER: RATES ARE INCLUDED IN THE PEDIATRIC RATES AS SUBMITTED</t>
  </si>
  <si>
    <t>PEDIATRIC ALLOGENEIC RELATED  BONE MARROW TRANSPLANT CONTRACT (PAL)</t>
  </si>
  <si>
    <t>PED. ALLO REL</t>
  </si>
  <si>
    <t>DONOR RELATED HARVEST 9includes Stem Cell Harvest) National Marrow Donor Program Cord Blood Acquisition</t>
  </si>
  <si>
    <t>FOLLOW UP CARE - 10 day blocks after the first 60 days post-transplant or portion thereof, but no past 100 days post-transplant</t>
  </si>
  <si>
    <t>TOTAL ALLOGENEIC, RELATED</t>
  </si>
  <si>
    <t>UCSD CHILDREN'S HOSPITAL</t>
  </si>
  <si>
    <t xml:space="preserve"> Formerly UCSD CHILDREN'S HOSPITAL &amp; HEALTH CENTER (PLU)</t>
  </si>
  <si>
    <t>PEDIATRIC ALLOGENEIC UNRELATED BONE MARROW TRANSPLANT</t>
  </si>
  <si>
    <t>PED. ALLO UNREL</t>
  </si>
  <si>
    <t xml:space="preserve">TOTAL ALLOGENEIC, UNREL. </t>
  </si>
  <si>
    <t>PEDIATRIC LIVING LIVER (PLL)</t>
  </si>
  <si>
    <t>UNIVERSITY OF CALIFORNIA SAN FRANCISCO MEDICAL CENTER</t>
  </si>
  <si>
    <t>ALLOGENIC UNRELATED PEDIATRIC BONE MARROW TRANSPLANT CONTRACT MUD including SCIDS (PLU)</t>
  </si>
  <si>
    <t>TRANSPLANT FACILITY ID# 539512</t>
  </si>
  <si>
    <t>PEDIATRIC MUD/SCIDS</t>
  </si>
  <si>
    <t>DONOR HARVEST (includes stem cell harvest) National Bone Marrow Donor Program</t>
  </si>
  <si>
    <t>NBMD or cord blood invoice costs</t>
  </si>
  <si>
    <t>Outlier:  If charges exceed $500,000 charges above $500,00 will be paid at 50% of billed charges.</t>
  </si>
  <si>
    <t>Does not include post transplant medication</t>
  </si>
  <si>
    <t>PEDIATRIC ALLOGENIC RELATED  BONE MARROW TRANSPLANT CONTRACT  SCID ONLY (PAL)</t>
  </si>
  <si>
    <t>PEDIATRIC SCIDS ONLY</t>
  </si>
  <si>
    <t>Outlier:  If charges exceed $428,000 charges above $428,00 will be paid at 50% of billed charges.</t>
  </si>
  <si>
    <t>UNIVERSITY MEDICAL CENTER - TUCSON</t>
  </si>
  <si>
    <t>TRANSPLANT FACILITY ID# 020470</t>
  </si>
  <si>
    <t>ADULTS &amp; CHILDREN</t>
  </si>
  <si>
    <t>ALLOGENIC RELATED BONE MARROW TRANSPLANT CONTRACT (ALO)</t>
  </si>
  <si>
    <t>ALLOGENIC RELATED BMT</t>
  </si>
  <si>
    <t>RELATED DONOR SEARCH</t>
  </si>
  <si>
    <t>RELATED DONOR HARVEST</t>
  </si>
  <si>
    <t>ALLOGENIC UNRELATED BONE MARROW TRANSPLANT CONTRACT (ALU)</t>
  </si>
  <si>
    <t>DONOR HARVEST (includes stem cell harvest) - National Bone Marrow Donor Program</t>
  </si>
  <si>
    <t>Outliers: Matched unrelated allogenic and Severe Immune Syndrome (SCIDS) cases will be reimbursed at case rates unless billed charges exceed $200,000. The case rate will cover the first $200,000 of charges then charges greater than $200,000 will be reimbursed at 50% of billed charges.</t>
  </si>
  <si>
    <t>DOUBLE LUNG TRANSPLANT CONTRACT (DLL)</t>
  </si>
  <si>
    <t>**Heart cases will be reimbursed at case rate unless total billed charges for components #2-#4 (Prep &amp; transplant through follow up care through day 60) exceed $250,000 and all charges over $250,000 will be reimbursed at 50% of billed charges.</t>
  </si>
  <si>
    <t>Post care while patient is on the VAD will be paid at the AHCCCS plan negotiated or default contracted rates.</t>
  </si>
  <si>
    <t>HEART-LUNG TRANSPLANT CONTRACT (HLT)</t>
  </si>
  <si>
    <t>TOTAL HEART-LUNG</t>
  </si>
  <si>
    <t>PREP &amp; TRANSPLANT UP TO AND INCLUDING DAY 10 OF INPATIENT CONVALESCENT SERVICE</t>
  </si>
  <si>
    <t>TOTAL KIDNEY - DECEASED DONOR</t>
  </si>
  <si>
    <t>INCLUDED IN COMPONENT #2</t>
  </si>
  <si>
    <t xml:space="preserve">  </t>
  </si>
  <si>
    <t>PAK</t>
  </si>
  <si>
    <t>SIMULTANEOUS KIDNEY-PANCREAS TRANSPLANT CONTRACT (SPK)</t>
  </si>
  <si>
    <t>SPK</t>
  </si>
  <si>
    <t>TOTAL KIDNEY-PANCREAS</t>
  </si>
  <si>
    <t>This case rate is for both living donor cases and cadaveric donor cases</t>
  </si>
  <si>
    <t>PEDIATRIC INTESTINAL TRANSPLANT CONTRACT (PCB)</t>
  </si>
  <si>
    <t>Single organ, small bowel cadaveric donor</t>
  </si>
  <si>
    <t xml:space="preserve">TOTAL </t>
  </si>
  <si>
    <t xml:space="preserve">Outlier:  Intestinal, single organ, small bowel cadaveric cases will be reimbursed at case rates unless total billed charges for all components exceed $945,000.  All charges over $945,000 will be reimbursed at provider's AHCCCS facility cost to charge ratio.  </t>
  </si>
  <si>
    <t>PEDIATRIC INTESTINAL TRANSPLANT CONTRACT (PLB)</t>
  </si>
  <si>
    <t>Single organ, small bowel living donor</t>
  </si>
  <si>
    <t xml:space="preserve">Outlier:  Intestinal, single organ, small bowel living donor cases will be reimbursed at case rates unless total billed charges for all components exceed $1,023,000.  All charges over $1,023,000 will be reimbursed at provider's AHCCCS facility cost to charge ratio.  </t>
  </si>
  <si>
    <t>PEDIATRIC INTESTINAL TRANSPLANT CONTRACT (PVC)</t>
  </si>
  <si>
    <t>Multi-visceral cadaveric donor</t>
  </si>
  <si>
    <t>Pediatric Multi Visceral</t>
  </si>
  <si>
    <t xml:space="preserve">Outlier:  Multi-visceral cadaveric cases will be reimbursed at case rates unless total billed charges for all components exceed $1,809,250.  All charges over $1,809,250 will be reimbursed at provider's AHCCCS facility cost to charge ratio.  </t>
  </si>
  <si>
    <t>PEDIATRIC INTESTINAL TRANSPLANT CONTRACT (PVL)</t>
  </si>
  <si>
    <t>Multi-visceral living donor</t>
  </si>
  <si>
    <t xml:space="preserve">Outlier:  Multi-visceral living donor cases will be reimbursed at case rates unless total billed charges for all components exceed $1,886,500.  All charges over $1,886,500 will be reimbursed at provider's AHCCCS facility cost to charge ratio.  </t>
  </si>
  <si>
    <t xml:space="preserve">$2,060 per 10 day block </t>
  </si>
  <si>
    <t xml:space="preserve">$2,000 per 10 day block </t>
  </si>
  <si>
    <t>7-10</t>
  </si>
  <si>
    <t>SUSPENDED 10/01/2013</t>
  </si>
  <si>
    <t>LIVING LIVER</t>
  </si>
  <si>
    <t>Pediatric Intestinal</t>
  </si>
  <si>
    <t xml:space="preserve">Pediatric Intestinal </t>
  </si>
  <si>
    <t xml:space="preserve">  HEART **</t>
  </si>
  <si>
    <t>KIDNEY CADAVERIC DONOR TRANSPLANT CONTRACT (PCK)</t>
  </si>
  <si>
    <t>HEART-LUNG **</t>
  </si>
  <si>
    <t>KIDNEY CADAVERIC DECEASED DONOR TRANSPLANT CONTRACT (CKY)</t>
  </si>
  <si>
    <t>PEDIATRIC LIVING DONOR SUSPENDED 10/01/2013</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</si>
  <si>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</si>
  <si>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</si>
  <si>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</si>
  <si>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</si>
  <si>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</si>
  <si>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</si>
  <si>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</si>
  <si>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LIVER CADAVERIC TRANSPLANT CONTRACT - CHILD (PLV)</t>
  </si>
  <si>
    <t>PEDIATRIC LIVER TRANSPLANT (PLV)</t>
  </si>
  <si>
    <t xml:space="preserve">For both </t>
  </si>
  <si>
    <t>CADAVERIC  and LIVING Donor LIVER</t>
  </si>
  <si>
    <t xml:space="preserve">                                SIMULATINOUS CADAVERIC LIVER/KIDNEY TRANSPLANT CONTRACT (SLK)</t>
  </si>
  <si>
    <t>PEDIATRIC KIDNEY SUSPENDED 10/23/2013</t>
  </si>
  <si>
    <t>PEDIATRIC CADAVERIC DONOR SUSPENDED 10/23/2013</t>
  </si>
  <si>
    <r>
      <t xml:space="preserve">ADULT HEART SUSPENDED 12/13/2013- 05/12/2014             </t>
    </r>
    <r>
      <rPr>
        <b/>
        <sz val="12"/>
        <rFont val="Arial"/>
        <family val="2"/>
      </rPr>
      <t>ADULT HEARTS REACTIVATED 05/13/2014</t>
    </r>
    <r>
      <rPr>
        <b/>
        <sz val="12"/>
        <color rgb="FFFF0000"/>
        <rFont val="Arial"/>
        <family val="2"/>
      </rPr>
      <t xml:space="preserve">                        PEDIATRIC HEART SUSPENDED 10/23/2013</t>
    </r>
  </si>
  <si>
    <r>
      <t xml:space="preserve">ADULTS SUSPENDED 10/01/2013 </t>
    </r>
    <r>
      <rPr>
        <b/>
        <sz val="12"/>
        <rFont val="Arial"/>
        <family val="2"/>
      </rPr>
      <t xml:space="preserve">                        </t>
    </r>
    <r>
      <rPr>
        <b/>
        <sz val="12"/>
        <color rgb="FFFF0000"/>
        <rFont val="Arial"/>
        <family val="2"/>
      </rPr>
      <t xml:space="preserve">  PEDIATRICS SUSPENDED 10/01/13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</si>
</sst>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164" formatCode="&quot;$&quot;#,##0.00"/>
    <numFmt numFmtId="165" formatCode="&quot;$&quot;#,##0.00&quot; &quot;;[Red]&quot;(&quot;&quot;$&quot;#,##0.00&quot;)&quot;"/>
    <numFmt numFmtId="166" formatCode="&quot; &quot;&quot;$&quot;#,##0.00&quot; &quot;;&quot; &quot;&quot;$&quot;&quot;(&quot;#,##0.00&quot;)&quot;;&quot; &quot;&quot;$&quot;&quot;-&quot;00&quot; &quot;;&quot; &quot;@&quot; &quot;"/>
  </numFmts>
  <fonts count="28" x14ac:knownFonts="1">
    <font>
      <sz val="10"/>
      <color rgb="FF000000"/>
      <name val="Courier"/>
      <family val="3"/>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b/>
      <u/>
      <sz val="9"/>
      <color rgb="FF000000"/>
      <name val="Arial"/>
      <family val="2"/>
    </font>
    <font>
      <sz val="9"/>
      <color rgb="FF000000"/>
      <name val="Arial"/>
      <family val="2"/>
    </font>
    <font>
      <b/>
      <i/>
      <sz val="9"/>
      <color rgb="FF000000"/>
      <name val="Arial"/>
      <family val="2"/>
    </font>
    <font>
      <b/>
      <sz val="9"/>
      <color rgb="FF000000"/>
      <name val="Arial"/>
      <family val="2"/>
    </font>
    <font>
      <b/>
      <sz val="10"/>
      <color rgb="FFFF0000"/>
      <name val="Arial"/>
      <family val="2"/>
    </font>
    <font>
      <sz val="9"/>
      <color rgb="FF000000"/>
      <name val="Calibri"/>
      <family val="2"/>
    </font>
    <font>
      <sz val="9"/>
      <color rgb="FF000000"/>
      <name val="Courier"/>
      <family val="3"/>
    </font>
    <font>
      <b/>
      <u/>
      <sz val="12"/>
      <color rgb="FF000000"/>
      <name val="Arial"/>
      <family val="2"/>
    </font>
    <font>
      <sz val="12"/>
      <color rgb="FF000000"/>
      <name val="Courier"/>
      <family val="3"/>
    </font>
    <font>
      <u/>
      <sz val="10"/>
      <color rgb="FF000000"/>
      <name val="Arial"/>
      <family val="2"/>
    </font>
    <font>
      <b/>
      <sz val="12"/>
      <color rgb="FFFF0000"/>
      <name val="Arial"/>
      <family val="2"/>
    </font>
    <font>
      <b/>
      <sz val="10"/>
      <color rgb="FF000000"/>
      <name val="Courier"/>
      <family val="3"/>
    </font>
    <font>
      <b/>
      <sz val="11"/>
      <color rgb="FFFF0000"/>
      <name val="Arial"/>
      <family val="2"/>
    </font>
    <font>
      <b/>
      <sz val="12"/>
      <color rgb="FFFF0000"/>
      <name val="Courier"/>
      <family val="3"/>
    </font>
    <font>
      <b/>
      <sz val="12"/>
      <name val="Arial"/>
      <family val="2"/>
    </font>
  </fonts>
  <fills count="2">
    <fill>
      <patternFill patternType="none"/>
    </fill>
    <fill>
      <patternFill patternType="gray125"/>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6" fontId="1"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cellStyleXfs>
  <cellXfs count="286">
    <xf numFmtId="0" fontId="0" fillId="0" borderId="0" xfId="0"/>
    <xf numFmtId="0" fontId="2" fillId="0" borderId="0" xfId="0" applyFont="1"/>
    <xf numFmtId="0" fontId="3" fillId="0" borderId="0" xfId="0" applyFont="1" applyAlignment="1">
      <alignment horizontal="center"/>
    </xf>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center" wrapText="1"/>
    </xf>
    <xf numFmtId="0" fontId="8" fillId="0" borderId="0" xfId="0" applyFont="1" applyAlignment="1">
      <alignment horizontal="center"/>
    </xf>
    <xf numFmtId="0" fontId="8" fillId="0" borderId="0" xfId="0" applyFont="1"/>
    <xf numFmtId="0" fontId="8" fillId="0" borderId="0" xfId="0" applyFont="1" applyFill="1" applyAlignment="1">
      <alignment horizontal="center"/>
    </xf>
    <xf numFmtId="0" fontId="8" fillId="0" borderId="1" xfId="0" applyFont="1" applyBorder="1" applyAlignment="1">
      <alignment horizontal="center"/>
    </xf>
    <xf numFmtId="0" fontId="8" fillId="0" borderId="2" xfId="0" applyFont="1" applyBorder="1" applyAlignment="1">
      <alignment horizontal="center" wrapText="1"/>
    </xf>
    <xf numFmtId="0" fontId="2" fillId="0" borderId="1" xfId="0" applyFont="1" applyBorder="1" applyAlignment="1">
      <alignment horizontal="center"/>
    </xf>
    <xf numFmtId="0" fontId="2" fillId="0" borderId="1" xfId="0" applyFont="1" applyBorder="1"/>
    <xf numFmtId="164" fontId="8" fillId="0" borderId="2" xfId="0" applyNumberFormat="1" applyFont="1" applyBorder="1" applyAlignment="1">
      <alignment horizontal="center"/>
    </xf>
    <xf numFmtId="164" fontId="8" fillId="0" borderId="1" xfId="0" applyNumberFormat="1" applyFont="1" applyBorder="1" applyAlignment="1">
      <alignment horizontal="center"/>
    </xf>
    <xf numFmtId="164" fontId="2" fillId="0" borderId="0" xfId="0" applyNumberFormat="1" applyFont="1"/>
    <xf numFmtId="0" fontId="2" fillId="0" borderId="1" xfId="0" applyFont="1" applyBorder="1" applyAlignment="1">
      <alignment wrapText="1"/>
    </xf>
    <xf numFmtId="0" fontId="8" fillId="0" borderId="0" xfId="0" applyFont="1" applyFill="1" applyAlignment="1">
      <alignment horizontal="left"/>
    </xf>
    <xf numFmtId="164" fontId="7" fillId="0" borderId="0" xfId="0" applyNumberFormat="1" applyFont="1" applyAlignment="1">
      <alignment horizontal="center"/>
    </xf>
    <xf numFmtId="0" fontId="2" fillId="0" borderId="3" xfId="0" applyFont="1" applyBorder="1"/>
    <xf numFmtId="164" fontId="2" fillId="0" borderId="3" xfId="0" applyNumberFormat="1" applyFont="1" applyBorder="1" applyAlignment="1">
      <alignment horizontal="center"/>
    </xf>
    <xf numFmtId="0" fontId="2" fillId="0" borderId="0" xfId="0" applyFont="1" applyAlignment="1">
      <alignment wrapText="1"/>
    </xf>
    <xf numFmtId="0" fontId="2" fillId="0" borderId="0" xfId="0" applyFont="1" applyFill="1" applyAlignment="1">
      <alignment wrapText="1"/>
    </xf>
    <xf numFmtId="0" fontId="9" fillId="0" borderId="0" xfId="0" applyFont="1" applyAlignment="1">
      <alignment wrapText="1"/>
    </xf>
    <xf numFmtId="9" fontId="2" fillId="0" borderId="0" xfId="0" applyNumberFormat="1" applyFont="1"/>
    <xf numFmtId="0" fontId="8" fillId="0" borderId="4" xfId="0" applyFont="1" applyBorder="1" applyAlignment="1">
      <alignment horizontal="center"/>
    </xf>
    <xf numFmtId="0" fontId="2" fillId="0" borderId="2" xfId="0" applyFont="1" applyBorder="1"/>
    <xf numFmtId="0" fontId="8" fillId="0" borderId="5" xfId="0" applyFont="1" applyBorder="1" applyAlignment="1">
      <alignment horizontal="center" wrapText="1"/>
    </xf>
    <xf numFmtId="0" fontId="8" fillId="0" borderId="3" xfId="0" applyFont="1" applyBorder="1" applyAlignment="1">
      <alignment horizontal="center"/>
    </xf>
    <xf numFmtId="0" fontId="2" fillId="0" borderId="6" xfId="0" applyFont="1" applyBorder="1" applyAlignment="1">
      <alignment horizontal="center"/>
    </xf>
    <xf numFmtId="0" fontId="2" fillId="0" borderId="6" xfId="0" applyFont="1" applyBorder="1"/>
    <xf numFmtId="164" fontId="8" fillId="0" borderId="6" xfId="0" applyNumberFormat="1" applyFont="1" applyBorder="1" applyAlignment="1">
      <alignment horizontal="center"/>
    </xf>
    <xf numFmtId="0" fontId="2" fillId="0" borderId="7" xfId="0" applyFont="1" applyBorder="1" applyAlignment="1">
      <alignment wrapText="1"/>
    </xf>
    <xf numFmtId="14" fontId="2" fillId="0" borderId="0" xfId="0" applyNumberFormat="1" applyFont="1"/>
    <xf numFmtId="164" fontId="7" fillId="0" borderId="4" xfId="0" applyNumberFormat="1" applyFont="1" applyBorder="1" applyAlignment="1">
      <alignment horizontal="center"/>
    </xf>
    <xf numFmtId="0" fontId="2" fillId="0" borderId="8" xfId="0" applyFont="1" applyBorder="1" applyAlignment="1">
      <alignment wrapText="1"/>
    </xf>
    <xf numFmtId="165" fontId="2" fillId="0" borderId="9" xfId="0" applyNumberFormat="1" applyFont="1" applyBorder="1" applyAlignment="1">
      <alignment horizontal="center"/>
    </xf>
    <xf numFmtId="165" fontId="2" fillId="0" borderId="10" xfId="0" applyNumberFormat="1" applyFont="1" applyBorder="1" applyAlignment="1">
      <alignment horizontal="center"/>
    </xf>
    <xf numFmtId="0" fontId="2" fillId="0" borderId="12" xfId="0" applyFont="1" applyBorder="1"/>
    <xf numFmtId="164" fontId="2" fillId="0" borderId="12" xfId="0" applyNumberFormat="1" applyFont="1" applyBorder="1" applyAlignment="1">
      <alignment horizontal="center"/>
    </xf>
    <xf numFmtId="0" fontId="2" fillId="0" borderId="13" xfId="0" applyFont="1" applyBorder="1" applyAlignment="1">
      <alignment wrapText="1"/>
    </xf>
    <xf numFmtId="0" fontId="3" fillId="0" borderId="0" xfId="0" applyFont="1" applyFill="1" applyAlignment="1">
      <alignment horizontal="center"/>
    </xf>
    <xf numFmtId="164" fontId="7" fillId="0" borderId="14" xfId="0" applyNumberFormat="1" applyFont="1" applyBorder="1" applyAlignment="1">
      <alignment horizontal="center"/>
    </xf>
    <xf numFmtId="0" fontId="10" fillId="0" borderId="0" xfId="0" applyFont="1"/>
    <xf numFmtId="0" fontId="0" fillId="0" borderId="0" xfId="0" applyFill="1"/>
    <xf numFmtId="164" fontId="7" fillId="0" borderId="1" xfId="0" applyNumberFormat="1" applyFont="1" applyBorder="1" applyAlignment="1">
      <alignment horizontal="center"/>
    </xf>
    <xf numFmtId="165" fontId="2" fillId="0" borderId="3" xfId="0" applyNumberFormat="1" applyFont="1" applyBorder="1" applyAlignment="1">
      <alignment horizontal="center"/>
    </xf>
    <xf numFmtId="0" fontId="8" fillId="0" borderId="15" xfId="0" applyFont="1" applyFill="1" applyBorder="1" applyAlignment="1">
      <alignment horizontal="center" wrapText="1"/>
    </xf>
    <xf numFmtId="164" fontId="7" fillId="0" borderId="6" xfId="0" applyNumberFormat="1" applyFont="1" applyBorder="1" applyAlignment="1">
      <alignment horizontal="center"/>
    </xf>
    <xf numFmtId="0" fontId="8" fillId="0" borderId="1" xfId="0" applyFont="1" applyFill="1" applyBorder="1" applyAlignment="1">
      <alignment horizontal="left"/>
    </xf>
    <xf numFmtId="0" fontId="2" fillId="0" borderId="0" xfId="0" applyFont="1" applyFill="1"/>
    <xf numFmtId="0" fontId="5" fillId="0" borderId="0" xfId="0" applyFont="1" applyFill="1"/>
    <xf numFmtId="0" fontId="6" fillId="0" borderId="0" xfId="0" applyFont="1" applyFill="1"/>
    <xf numFmtId="0" fontId="6" fillId="0" borderId="0" xfId="0" applyFont="1" applyFill="1" applyAlignment="1">
      <alignment horizontal="center"/>
    </xf>
    <xf numFmtId="0" fontId="7" fillId="0" borderId="0" xfId="0" applyFont="1" applyFill="1"/>
    <xf numFmtId="0" fontId="8" fillId="0" borderId="0" xfId="0" applyFont="1" applyFill="1" applyAlignment="1">
      <alignment horizontal="center" wrapText="1"/>
    </xf>
    <xf numFmtId="0" fontId="8" fillId="0" borderId="0" xfId="0" applyFont="1" applyFill="1"/>
    <xf numFmtId="0" fontId="8" fillId="0" borderId="1" xfId="0"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xf numFmtId="164" fontId="8" fillId="0" borderId="1" xfId="0" applyNumberFormat="1" applyFont="1" applyFill="1" applyBorder="1" applyAlignment="1">
      <alignment horizontal="center"/>
    </xf>
    <xf numFmtId="0" fontId="2" fillId="0" borderId="7" xfId="0" applyFont="1" applyFill="1" applyBorder="1" applyAlignment="1">
      <alignment wrapText="1"/>
    </xf>
    <xf numFmtId="164" fontId="7" fillId="0" borderId="0" xfId="0" applyNumberFormat="1" applyFont="1" applyFill="1" applyAlignment="1">
      <alignment horizontal="center"/>
    </xf>
    <xf numFmtId="0" fontId="2" fillId="0" borderId="1" xfId="0" applyFont="1" applyFill="1" applyBorder="1" applyAlignment="1">
      <alignment wrapText="1"/>
    </xf>
    <xf numFmtId="0" fontId="4" fillId="0" borderId="0" xfId="0" applyFont="1" applyFill="1"/>
    <xf numFmtId="0" fontId="2" fillId="0" borderId="3" xfId="0" applyFont="1" applyFill="1" applyBorder="1"/>
    <xf numFmtId="164" fontId="2" fillId="0" borderId="3" xfId="0" applyNumberFormat="1" applyFont="1" applyFill="1" applyBorder="1" applyAlignment="1">
      <alignment horizontal="center"/>
    </xf>
    <xf numFmtId="0" fontId="10" fillId="0" borderId="0" xfId="0" applyFont="1" applyFill="1"/>
    <xf numFmtId="164" fontId="8" fillId="0" borderId="1" xfId="0" applyNumberFormat="1" applyFont="1" applyBorder="1" applyAlignment="1">
      <alignment horizontal="center" wrapText="1"/>
    </xf>
    <xf numFmtId="165" fontId="8" fillId="0" borderId="3" xfId="0" applyNumberFormat="1" applyFont="1" applyBorder="1" applyAlignment="1">
      <alignment horizontal="center"/>
    </xf>
    <xf numFmtId="0" fontId="2" fillId="0" borderId="0" xfId="0" applyFont="1" applyAlignment="1">
      <alignment vertical="center" wrapText="1"/>
    </xf>
    <xf numFmtId="0" fontId="2" fillId="0" borderId="0" xfId="0" applyFont="1" applyAlignment="1">
      <alignment vertical="center"/>
    </xf>
    <xf numFmtId="164" fontId="2" fillId="0" borderId="0" xfId="0" applyNumberFormat="1" applyFont="1" applyFill="1"/>
    <xf numFmtId="164" fontId="8" fillId="0" borderId="1" xfId="0" applyNumberFormat="1" applyFont="1" applyFill="1" applyBorder="1" applyAlignment="1">
      <alignment horizontal="center" wrapText="1"/>
    </xf>
    <xf numFmtId="0" fontId="2" fillId="0" borderId="5" xfId="0" applyFont="1" applyBorder="1"/>
    <xf numFmtId="0" fontId="8" fillId="0" borderId="0" xfId="0" applyFont="1" applyFill="1" applyAlignment="1">
      <alignment horizontal="center" vertical="center"/>
    </xf>
    <xf numFmtId="0" fontId="12" fillId="0" borderId="0" xfId="0" applyFont="1" applyFill="1" applyAlignment="1">
      <alignment vertical="center"/>
    </xf>
    <xf numFmtId="0" fontId="8" fillId="0" borderId="4" xfId="0" applyFont="1" applyFill="1" applyBorder="1" applyAlignment="1">
      <alignment horizontal="center" wrapText="1"/>
    </xf>
    <xf numFmtId="0" fontId="2" fillId="0" borderId="1" xfId="0" applyFont="1" applyFill="1" applyBorder="1" applyAlignment="1">
      <alignment horizontal="left"/>
    </xf>
    <xf numFmtId="166" fontId="2" fillId="0" borderId="1" xfId="1" applyFont="1" applyFill="1" applyBorder="1" applyAlignment="1">
      <alignment horizontal="center" wrapText="1"/>
    </xf>
    <xf numFmtId="164" fontId="8" fillId="0" borderId="0" xfId="0" applyNumberFormat="1" applyFont="1" applyFill="1" applyAlignment="1">
      <alignment horizontal="center"/>
    </xf>
    <xf numFmtId="166" fontId="8" fillId="0" borderId="1" xfId="1" applyFont="1" applyFill="1" applyBorder="1" applyAlignment="1">
      <alignment horizontal="center"/>
    </xf>
    <xf numFmtId="0" fontId="2" fillId="0" borderId="1" xfId="0" applyFont="1" applyFill="1" applyBorder="1" applyAlignment="1">
      <alignment horizontal="left" wrapText="1"/>
    </xf>
    <xf numFmtId="166" fontId="8" fillId="0" borderId="7" xfId="1" applyFont="1" applyFill="1" applyBorder="1" applyAlignment="1">
      <alignment horizontal="center" wrapText="1"/>
    </xf>
    <xf numFmtId="14" fontId="2" fillId="0" borderId="0" xfId="0" applyNumberFormat="1" applyFont="1" applyFill="1"/>
    <xf numFmtId="0" fontId="14" fillId="0" borderId="13" xfId="0" applyFont="1" applyFill="1" applyBorder="1"/>
    <xf numFmtId="0" fontId="14" fillId="0" borderId="0" xfId="0" applyFont="1" applyFill="1"/>
    <xf numFmtId="0" fontId="14" fillId="0" borderId="17" xfId="0" applyFont="1" applyFill="1" applyBorder="1"/>
    <xf numFmtId="0" fontId="14" fillId="0" borderId="13" xfId="0" applyFont="1" applyBorder="1"/>
    <xf numFmtId="0" fontId="14" fillId="0" borderId="0" xfId="0" applyFont="1"/>
    <xf numFmtId="0" fontId="14" fillId="0" borderId="17" xfId="0" applyFont="1" applyBorder="1"/>
    <xf numFmtId="0" fontId="14" fillId="0" borderId="7" xfId="0" applyFont="1" applyBorder="1"/>
    <xf numFmtId="0" fontId="14" fillId="0" borderId="15" xfId="0" applyFont="1" applyBorder="1"/>
    <xf numFmtId="0" fontId="14" fillId="0" borderId="12" xfId="0" applyFont="1" applyBorder="1"/>
    <xf numFmtId="0" fontId="8" fillId="0" borderId="0" xfId="2" applyFont="1" applyFill="1" applyAlignment="1">
      <alignment horizontal="center"/>
    </xf>
    <xf numFmtId="0" fontId="2" fillId="0" borderId="0" xfId="2" applyFont="1" applyFill="1" applyAlignment="1"/>
    <xf numFmtId="0" fontId="7" fillId="0" borderId="0" xfId="2" applyFont="1" applyFill="1" applyAlignment="1"/>
    <xf numFmtId="0" fontId="7" fillId="0" borderId="0" xfId="2" applyFont="1" applyFill="1" applyAlignment="1">
      <alignment horizontal="center"/>
    </xf>
    <xf numFmtId="0" fontId="8" fillId="0" borderId="0" xfId="2" applyFont="1" applyFill="1" applyAlignment="1">
      <alignment horizontal="center" wrapText="1"/>
    </xf>
    <xf numFmtId="0" fontId="8" fillId="0" borderId="0" xfId="2" applyFont="1" applyFill="1" applyAlignment="1"/>
    <xf numFmtId="0" fontId="2" fillId="0" borderId="1" xfId="2" applyFont="1" applyFill="1" applyBorder="1" applyAlignment="1">
      <alignment horizontal="center"/>
    </xf>
    <xf numFmtId="0" fontId="2" fillId="0" borderId="0" xfId="2" applyFont="1" applyFill="1" applyAlignment="1">
      <alignment wrapText="1"/>
    </xf>
    <xf numFmtId="0" fontId="8" fillId="0" borderId="0" xfId="3" applyFont="1" applyFill="1" applyAlignment="1">
      <alignment horizontal="center"/>
    </xf>
    <xf numFmtId="0" fontId="2" fillId="0" borderId="0" xfId="3" applyFont="1" applyFill="1" applyAlignment="1"/>
    <xf numFmtId="0" fontId="7" fillId="0" borderId="0" xfId="3" applyFont="1" applyFill="1" applyAlignment="1"/>
    <xf numFmtId="0" fontId="7" fillId="0" borderId="0" xfId="3" applyFont="1" applyFill="1" applyAlignment="1">
      <alignment horizontal="center"/>
    </xf>
    <xf numFmtId="0" fontId="8" fillId="0" borderId="0" xfId="3" applyFont="1" applyFill="1" applyAlignment="1">
      <alignment horizontal="center" wrapText="1"/>
    </xf>
    <xf numFmtId="0" fontId="8" fillId="0" borderId="0" xfId="3" applyFont="1" applyFill="1" applyAlignment="1"/>
    <xf numFmtId="0" fontId="10" fillId="0" borderId="0" xfId="3" applyFont="1" applyFill="1" applyAlignment="1"/>
    <xf numFmtId="14" fontId="10" fillId="0" borderId="0" xfId="3" applyNumberFormat="1" applyFont="1" applyFill="1" applyAlignment="1"/>
    <xf numFmtId="0" fontId="8" fillId="0" borderId="2" xfId="0" applyFont="1" applyFill="1" applyBorder="1" applyAlignment="1">
      <alignment horizontal="center"/>
    </xf>
    <xf numFmtId="0" fontId="8" fillId="0" borderId="4" xfId="0" applyFont="1" applyFill="1" applyBorder="1" applyAlignment="1">
      <alignment wrapText="1"/>
    </xf>
    <xf numFmtId="0" fontId="8" fillId="0" borderId="0" xfId="0" applyFont="1" applyFill="1" applyAlignment="1">
      <alignment wrapText="1"/>
    </xf>
    <xf numFmtId="0" fontId="8" fillId="0" borderId="19" xfId="0" applyFont="1" applyFill="1" applyBorder="1" applyAlignment="1">
      <alignment horizontal="left"/>
    </xf>
    <xf numFmtId="164" fontId="8" fillId="0" borderId="20" xfId="0" applyNumberFormat="1" applyFont="1" applyFill="1" applyBorder="1" applyAlignment="1">
      <alignment horizontal="center"/>
    </xf>
    <xf numFmtId="0" fontId="2" fillId="0" borderId="0" xfId="0" applyFont="1" applyAlignment="1">
      <alignment horizontal="center"/>
    </xf>
    <xf numFmtId="164" fontId="8" fillId="0" borderId="4" xfId="0" applyNumberFormat="1" applyFont="1" applyBorder="1" applyAlignment="1">
      <alignment horizontal="center"/>
    </xf>
    <xf numFmtId="164" fontId="8" fillId="0" borderId="14" xfId="0" applyNumberFormat="1" applyFont="1" applyBorder="1" applyAlignment="1">
      <alignment horizontal="center" wrapText="1"/>
    </xf>
    <xf numFmtId="0" fontId="8" fillId="0" borderId="21" xfId="0" applyFont="1" applyFill="1" applyBorder="1" applyAlignment="1">
      <alignment horizontal="left"/>
    </xf>
    <xf numFmtId="0" fontId="8" fillId="0" borderId="22" xfId="0" applyFont="1" applyFill="1" applyBorder="1" applyAlignment="1">
      <alignment horizontal="left"/>
    </xf>
    <xf numFmtId="164" fontId="7" fillId="0" borderId="23" xfId="0" applyNumberFormat="1" applyFont="1" applyBorder="1" applyAlignment="1">
      <alignment horizontal="center"/>
    </xf>
    <xf numFmtId="0" fontId="2" fillId="0" borderId="11" xfId="0" applyFont="1" applyBorder="1"/>
    <xf numFmtId="165" fontId="2" fillId="0" borderId="0" xfId="0" applyNumberFormat="1" applyFont="1" applyAlignment="1">
      <alignment horizontal="center"/>
    </xf>
    <xf numFmtId="0" fontId="2" fillId="0" borderId="1" xfId="0" applyFont="1" applyBorder="1" applyAlignment="1">
      <alignment vertical="center" wrapText="1"/>
    </xf>
    <xf numFmtId="0" fontId="2" fillId="0" borderId="0" xfId="0" applyFont="1" applyFill="1" applyAlignment="1">
      <alignment horizontal="left" wrapText="1"/>
    </xf>
    <xf numFmtId="164" fontId="8" fillId="0" borderId="2" xfId="0" applyNumberFormat="1" applyFont="1" applyBorder="1" applyAlignment="1">
      <alignment horizontal="center" wrapText="1"/>
    </xf>
    <xf numFmtId="164" fontId="7" fillId="0" borderId="24" xfId="0" applyNumberFormat="1" applyFont="1" applyBorder="1" applyAlignment="1">
      <alignment horizontal="center"/>
    </xf>
    <xf numFmtId="0" fontId="2" fillId="0" borderId="15" xfId="0" applyFont="1" applyBorder="1"/>
    <xf numFmtId="0" fontId="17" fillId="0" borderId="0" xfId="0" applyFont="1"/>
    <xf numFmtId="0" fontId="16" fillId="0" borderId="1" xfId="0" applyFont="1" applyFill="1" applyBorder="1" applyAlignment="1">
      <alignment horizontal="center"/>
    </xf>
    <xf numFmtId="0" fontId="16" fillId="0" borderId="0" xfId="0" applyFont="1" applyFill="1" applyAlignment="1">
      <alignment horizontal="center"/>
    </xf>
    <xf numFmtId="0" fontId="18" fillId="0" borderId="0" xfId="0" applyFont="1"/>
    <xf numFmtId="164" fontId="14" fillId="0" borderId="0" xfId="0" applyNumberFormat="1" applyFont="1" applyFill="1"/>
    <xf numFmtId="0" fontId="16" fillId="0" borderId="1" xfId="0" applyFont="1" applyBorder="1" applyAlignment="1">
      <alignment horizontal="center"/>
    </xf>
    <xf numFmtId="0" fontId="16" fillId="0" borderId="0" xfId="0" applyFont="1" applyAlignment="1">
      <alignment horizontal="center"/>
    </xf>
    <xf numFmtId="166" fontId="16" fillId="0" borderId="1" xfId="1" applyFont="1" applyBorder="1" applyAlignment="1">
      <alignment horizontal="center"/>
    </xf>
    <xf numFmtId="0" fontId="2" fillId="0" borderId="17" xfId="0" applyFont="1" applyBorder="1"/>
    <xf numFmtId="0" fontId="19" fillId="0" borderId="0" xfId="0" applyFont="1"/>
    <xf numFmtId="0" fontId="14" fillId="0" borderId="0" xfId="0" applyFont="1" applyAlignment="1">
      <alignment wrapText="1"/>
    </xf>
    <xf numFmtId="0" fontId="20" fillId="0" borderId="0" xfId="0" applyFont="1"/>
    <xf numFmtId="0" fontId="20" fillId="0" borderId="0" xfId="0" applyFont="1" applyAlignment="1">
      <alignment horizontal="center"/>
    </xf>
    <xf numFmtId="0" fontId="3" fillId="0" borderId="0" xfId="0" applyFont="1" applyAlignment="1">
      <alignment horizontal="center" wrapText="1"/>
    </xf>
    <xf numFmtId="0" fontId="8" fillId="0" borderId="6" xfId="0" applyFont="1" applyBorder="1" applyAlignment="1">
      <alignment horizontal="center"/>
    </xf>
    <xf numFmtId="0" fontId="8" fillId="0" borderId="15" xfId="0" applyFont="1" applyBorder="1" applyAlignment="1">
      <alignment horizontal="center" wrapText="1"/>
    </xf>
    <xf numFmtId="0" fontId="0" fillId="0" borderId="0" xfId="0"/>
    <xf numFmtId="0" fontId="11" fillId="0" borderId="0" xfId="0" applyFont="1" applyFill="1" applyAlignment="1">
      <alignment horizontal="center" wrapText="1"/>
    </xf>
    <xf numFmtId="0" fontId="0" fillId="0" borderId="0" xfId="0" applyFont="1"/>
    <xf numFmtId="0" fontId="21" fillId="0" borderId="0" xfId="0" applyFont="1"/>
    <xf numFmtId="166" fontId="8" fillId="0" borderId="1" xfId="1" applyFont="1" applyBorder="1" applyAlignment="1">
      <alignment horizontal="center"/>
    </xf>
    <xf numFmtId="0" fontId="2" fillId="0" borderId="18" xfId="0" applyFont="1" applyFill="1" applyBorder="1"/>
    <xf numFmtId="164" fontId="8" fillId="0" borderId="1" xfId="3" applyNumberFormat="1" applyFont="1" applyFill="1" applyBorder="1" applyAlignment="1">
      <alignment horizontal="center"/>
    </xf>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horizontal="right"/>
    </xf>
    <xf numFmtId="0" fontId="22" fillId="0" borderId="0" xfId="0" applyFont="1" applyFill="1" applyAlignment="1"/>
    <xf numFmtId="49" fontId="2" fillId="0" borderId="1" xfId="0" applyNumberFormat="1" applyFont="1" applyBorder="1" applyAlignment="1">
      <alignment horizontal="center" vertical="center"/>
    </xf>
    <xf numFmtId="0" fontId="3" fillId="0" borderId="0" xfId="0" applyFont="1" applyFill="1" applyAlignment="1">
      <alignment horizontal="center"/>
    </xf>
    <xf numFmtId="0" fontId="2" fillId="0" borderId="0" xfId="0" applyFont="1" applyFill="1"/>
    <xf numFmtId="0" fontId="8" fillId="0" borderId="0" xfId="0" applyFont="1" applyAlignment="1">
      <alignment horizontal="center"/>
    </xf>
    <xf numFmtId="0" fontId="8" fillId="0" borderId="0" xfId="0" applyFont="1" applyFill="1" applyAlignment="1">
      <alignment horizontal="center"/>
    </xf>
    <xf numFmtId="0" fontId="8" fillId="0" borderId="0" xfId="2" applyFont="1" applyFill="1" applyAlignment="1">
      <alignment horizontal="center"/>
    </xf>
    <xf numFmtId="0" fontId="2" fillId="0" borderId="1" xfId="0" applyFont="1" applyFill="1" applyBorder="1" applyAlignment="1">
      <alignment horizontal="left" wrapText="1"/>
    </xf>
    <xf numFmtId="0" fontId="8" fillId="0" borderId="1" xfId="2" applyFont="1" applyFill="1" applyBorder="1" applyAlignment="1">
      <alignment horizontal="center"/>
    </xf>
    <xf numFmtId="0" fontId="2" fillId="0" borderId="1" xfId="2" applyFont="1" applyFill="1" applyBorder="1" applyAlignment="1"/>
    <xf numFmtId="164" fontId="8" fillId="0" borderId="1" xfId="2" applyNumberFormat="1" applyFont="1" applyFill="1" applyBorder="1" applyAlignment="1">
      <alignment horizontal="center"/>
    </xf>
    <xf numFmtId="164" fontId="2" fillId="0" borderId="0" xfId="2" applyNumberFormat="1" applyFont="1" applyFill="1" applyAlignment="1"/>
    <xf numFmtId="0" fontId="2" fillId="0" borderId="7" xfId="2" applyFont="1" applyFill="1" applyBorder="1" applyAlignment="1">
      <alignment wrapText="1"/>
    </xf>
    <xf numFmtId="0" fontId="8" fillId="0" borderId="0" xfId="2" applyFont="1" applyFill="1" applyAlignment="1">
      <alignment horizontal="left"/>
    </xf>
    <xf numFmtId="164" fontId="7" fillId="0" borderId="0" xfId="2" applyNumberFormat="1" applyFont="1" applyFill="1" applyAlignment="1">
      <alignment horizontal="center"/>
    </xf>
    <xf numFmtId="14" fontId="2" fillId="0" borderId="0" xfId="2" applyNumberFormat="1" applyFont="1" applyFill="1" applyAlignment="1"/>
    <xf numFmtId="0" fontId="8" fillId="0" borderId="0" xfId="3" applyFont="1" applyFill="1" applyAlignment="1">
      <alignment horizontal="left"/>
    </xf>
    <xf numFmtId="164" fontId="7" fillId="0" borderId="0" xfId="3" applyNumberFormat="1" applyFont="1" applyFill="1" applyAlignment="1">
      <alignment horizontal="center"/>
    </xf>
    <xf numFmtId="0" fontId="2" fillId="0" borderId="1" xfId="3" applyFont="1" applyFill="1" applyBorder="1" applyAlignment="1"/>
    <xf numFmtId="0" fontId="2" fillId="0" borderId="1" xfId="3" applyFont="1" applyFill="1" applyBorder="1" applyAlignment="1">
      <alignment wrapText="1"/>
    </xf>
    <xf numFmtId="0" fontId="2" fillId="0" borderId="7" xfId="3" applyFont="1" applyFill="1" applyBorder="1" applyAlignment="1">
      <alignment wrapText="1"/>
    </xf>
    <xf numFmtId="0" fontId="8" fillId="0" borderId="1" xfId="3" applyFont="1" applyFill="1" applyBorder="1" applyAlignment="1">
      <alignment horizontal="center"/>
    </xf>
    <xf numFmtId="0" fontId="2" fillId="0" borderId="1" xfId="3" applyFont="1" applyFill="1" applyBorder="1" applyAlignment="1">
      <alignment horizontal="center"/>
    </xf>
    <xf numFmtId="164" fontId="2" fillId="0" borderId="0" xfId="3" applyNumberFormat="1" applyFont="1" applyFill="1" applyAlignment="1"/>
    <xf numFmtId="14" fontId="2" fillId="0" borderId="0" xfId="3" applyNumberFormat="1" applyFont="1" applyFill="1" applyAlignment="1"/>
    <xf numFmtId="0" fontId="2" fillId="0" borderId="25" xfId="0" applyFont="1" applyBorder="1"/>
    <xf numFmtId="165" fontId="8" fillId="0" borderId="26" xfId="0" applyNumberFormat="1" applyFont="1" applyBorder="1" applyAlignment="1">
      <alignment horizontal="center"/>
    </xf>
    <xf numFmtId="0" fontId="2" fillId="0" borderId="1" xfId="0" applyFont="1" applyBorder="1" applyAlignment="1">
      <alignment horizontal="left"/>
    </xf>
    <xf numFmtId="164" fontId="8" fillId="0" borderId="0" xfId="0" applyNumberFormat="1" applyFont="1" applyAlignment="1">
      <alignment horizontal="center"/>
    </xf>
    <xf numFmtId="0" fontId="2" fillId="0" borderId="1" xfId="0" applyFont="1" applyBorder="1" applyAlignment="1">
      <alignment horizontal="left" wrapText="1"/>
    </xf>
    <xf numFmtId="166" fontId="8" fillId="0" borderId="7" xfId="1" applyFont="1" applyBorder="1" applyAlignment="1">
      <alignment horizontal="center" wrapText="1"/>
    </xf>
    <xf numFmtId="0" fontId="2" fillId="0" borderId="0" xfId="0" applyFont="1" applyAlignment="1">
      <alignment horizontal="left" wrapText="1"/>
    </xf>
    <xf numFmtId="166" fontId="8" fillId="0" borderId="0" xfId="1" applyFont="1" applyAlignment="1">
      <alignment wrapText="1"/>
    </xf>
    <xf numFmtId="165" fontId="8" fillId="0" borderId="1" xfId="0" applyNumberFormat="1" applyFont="1" applyBorder="1" applyAlignment="1">
      <alignment horizontal="center"/>
    </xf>
    <xf numFmtId="164" fontId="8" fillId="0" borderId="3" xfId="0" applyNumberFormat="1" applyFont="1" applyBorder="1" applyAlignment="1">
      <alignment horizontal="center"/>
    </xf>
    <xf numFmtId="0" fontId="14" fillId="0" borderId="1" xfId="0" applyFont="1" applyBorder="1" applyAlignment="1">
      <alignment wrapText="1"/>
    </xf>
    <xf numFmtId="0" fontId="16" fillId="0" borderId="0" xfId="0" applyFont="1" applyAlignment="1">
      <alignment wrapText="1"/>
    </xf>
    <xf numFmtId="0" fontId="8" fillId="0" borderId="31" xfId="0" applyFont="1" applyBorder="1"/>
    <xf numFmtId="0" fontId="8" fillId="0" borderId="31" xfId="0" applyFont="1" applyBorder="1" applyAlignment="1">
      <alignment horizontal="center"/>
    </xf>
    <xf numFmtId="0" fontId="2" fillId="0" borderId="2" xfId="0" applyFont="1" applyBorder="1" applyAlignment="1">
      <alignment wrapText="1"/>
    </xf>
    <xf numFmtId="0" fontId="2" fillId="0" borderId="27" xfId="0" applyFont="1" applyBorder="1" applyAlignment="1">
      <alignment wrapText="1"/>
    </xf>
    <xf numFmtId="0" fontId="2" fillId="0" borderId="0" xfId="0" applyFont="1" applyBorder="1"/>
    <xf numFmtId="164" fontId="2" fillId="0" borderId="0" xfId="0" applyNumberFormat="1" applyFont="1" applyBorder="1" applyAlignment="1">
      <alignment horizontal="center"/>
    </xf>
    <xf numFmtId="0" fontId="3" fillId="0" borderId="0" xfId="3" applyFont="1" applyFill="1" applyAlignment="1">
      <alignment horizontal="center"/>
    </xf>
    <xf numFmtId="0" fontId="8" fillId="0" borderId="27" xfId="0" applyFont="1" applyBorder="1" applyAlignment="1">
      <alignment horizontal="center"/>
    </xf>
    <xf numFmtId="0" fontId="2" fillId="0" borderId="27" xfId="0" applyFont="1" applyBorder="1" applyAlignment="1">
      <alignment horizontal="center"/>
    </xf>
    <xf numFmtId="165" fontId="2" fillId="0" borderId="0" xfId="0" applyNumberFormat="1" applyFont="1" applyBorder="1" applyAlignment="1">
      <alignment horizontal="center"/>
    </xf>
    <xf numFmtId="0" fontId="2" fillId="0" borderId="34" xfId="0" applyFont="1" applyBorder="1"/>
    <xf numFmtId="0" fontId="2" fillId="0" borderId="35" xfId="0" applyFont="1" applyBorder="1"/>
    <xf numFmtId="164" fontId="2" fillId="0" borderId="30" xfId="0" applyNumberFormat="1" applyFont="1" applyBorder="1" applyAlignment="1">
      <alignment horizontal="center"/>
    </xf>
    <xf numFmtId="0" fontId="3" fillId="0" borderId="0" xfId="0" applyFont="1" applyAlignment="1">
      <alignment horizontal="center"/>
    </xf>
    <xf numFmtId="164" fontId="7" fillId="0" borderId="17" xfId="0" applyNumberFormat="1" applyFont="1" applyBorder="1" applyAlignment="1">
      <alignment horizontal="center"/>
    </xf>
    <xf numFmtId="0" fontId="8" fillId="0" borderId="2" xfId="0" applyFont="1" applyFill="1" applyBorder="1" applyAlignment="1">
      <alignment horizontal="left"/>
    </xf>
    <xf numFmtId="164" fontId="7" fillId="0" borderId="27" xfId="0" applyNumberFormat="1" applyFont="1" applyBorder="1" applyAlignment="1">
      <alignment horizontal="center"/>
    </xf>
    <xf numFmtId="0" fontId="2" fillId="0" borderId="27" xfId="0" applyFont="1" applyBorder="1"/>
    <xf numFmtId="0" fontId="2" fillId="0" borderId="37" xfId="0" applyFont="1" applyBorder="1" applyAlignment="1">
      <alignment wrapText="1"/>
    </xf>
    <xf numFmtId="0" fontId="3" fillId="0" borderId="0" xfId="0" applyFont="1" applyAlignment="1">
      <alignment horizontal="center"/>
    </xf>
    <xf numFmtId="0" fontId="0" fillId="0" borderId="0" xfId="0"/>
    <xf numFmtId="0" fontId="3" fillId="0" borderId="0" xfId="0" applyFont="1" applyFill="1" applyAlignment="1">
      <alignment horizontal="center"/>
    </xf>
    <xf numFmtId="0" fontId="2" fillId="0" borderId="0" xfId="0" applyFont="1" applyFill="1"/>
    <xf numFmtId="8" fontId="2" fillId="0" borderId="27" xfId="0" applyNumberFormat="1" applyFont="1" applyFill="1" applyBorder="1" applyAlignment="1">
      <alignment horizontal="center"/>
    </xf>
    <xf numFmtId="8" fontId="2" fillId="0" borderId="27" xfId="0" applyNumberFormat="1" applyFont="1" applyBorder="1" applyAlignment="1">
      <alignment horizontal="center"/>
    </xf>
    <xf numFmtId="0" fontId="3" fillId="0" borderId="0" xfId="0" applyFont="1"/>
    <xf numFmtId="0" fontId="3" fillId="0" borderId="0" xfId="0" applyFont="1" applyAlignment="1">
      <alignment horizontal="center"/>
    </xf>
    <xf numFmtId="0" fontId="0" fillId="0" borderId="0" xfId="0"/>
    <xf numFmtId="0" fontId="3" fillId="0" borderId="0" xfId="0" applyFont="1" applyAlignment="1">
      <alignment horizontal="center"/>
    </xf>
    <xf numFmtId="0" fontId="0" fillId="0" borderId="0" xfId="0"/>
    <xf numFmtId="0" fontId="2" fillId="0" borderId="28" xfId="0" applyFont="1" applyFill="1" applyBorder="1" applyAlignment="1">
      <alignment horizontal="left" wrapText="1"/>
    </xf>
    <xf numFmtId="0" fontId="2" fillId="0" borderId="32" xfId="0" applyFont="1" applyFill="1" applyBorder="1" applyAlignment="1">
      <alignment horizontal="left" wrapText="1"/>
    </xf>
    <xf numFmtId="0" fontId="2" fillId="0" borderId="11" xfId="0" applyFont="1" applyFill="1" applyBorder="1"/>
    <xf numFmtId="0" fontId="3" fillId="0" borderId="0" xfId="0" applyFont="1" applyFill="1" applyAlignment="1">
      <alignment horizontal="center"/>
    </xf>
    <xf numFmtId="0" fontId="2" fillId="0" borderId="28" xfId="0" applyFont="1" applyBorder="1" applyAlignment="1">
      <alignment vertical="top" wrapText="1"/>
    </xf>
    <xf numFmtId="0" fontId="0" fillId="0" borderId="29" xfId="0" applyBorder="1" applyAlignment="1">
      <alignment vertical="top" wrapText="1"/>
    </xf>
    <xf numFmtId="0" fontId="0" fillId="0" borderId="29" xfId="0" applyBorder="1" applyAlignment="1"/>
    <xf numFmtId="0" fontId="0" fillId="0" borderId="30" xfId="0" applyBorder="1" applyAlignment="1"/>
    <xf numFmtId="0" fontId="0" fillId="0" borderId="0" xfId="0" applyFill="1"/>
    <xf numFmtId="0" fontId="2" fillId="0" borderId="0" xfId="0" applyFont="1" applyFill="1"/>
    <xf numFmtId="0" fontId="24" fillId="0" borderId="0" xfId="0" applyFont="1" applyAlignment="1">
      <alignment horizontal="center"/>
    </xf>
    <xf numFmtId="0" fontId="2" fillId="0" borderId="28" xfId="0" applyFont="1" applyBorder="1" applyAlignment="1">
      <alignment wrapText="1"/>
    </xf>
    <xf numFmtId="0" fontId="2" fillId="0" borderId="1" xfId="0" applyFont="1" applyFill="1" applyBorder="1" applyAlignment="1">
      <alignment horizontal="left" vertical="center"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30" xfId="0" applyFont="1" applyFill="1" applyBorder="1" applyAlignment="1">
      <alignment horizontal="left" vertical="top" wrapText="1"/>
    </xf>
    <xf numFmtId="0" fontId="11" fillId="0" borderId="0" xfId="0" applyFont="1" applyFill="1" applyAlignment="1">
      <alignment horizontal="center" wrapText="1"/>
    </xf>
    <xf numFmtId="0" fontId="0" fillId="0" borderId="0" xfId="0" applyAlignment="1">
      <alignment horizontal="center" wrapText="1"/>
    </xf>
    <xf numFmtId="0" fontId="14" fillId="0" borderId="16" xfId="0" applyFont="1" applyFill="1" applyBorder="1" applyAlignment="1"/>
    <xf numFmtId="0" fontId="13" fillId="0" borderId="4" xfId="0" applyFont="1" applyFill="1" applyBorder="1" applyAlignment="1">
      <alignment wrapText="1"/>
    </xf>
    <xf numFmtId="0" fontId="3" fillId="0" borderId="0" xfId="2" applyFont="1" applyFill="1" applyAlignment="1">
      <alignment horizontal="center"/>
    </xf>
    <xf numFmtId="0" fontId="2" fillId="0" borderId="0" xfId="0" applyFont="1" applyFill="1" applyAlignment="1">
      <alignment horizontal="center"/>
    </xf>
    <xf numFmtId="0" fontId="2" fillId="0" borderId="1" xfId="0" applyFont="1" applyFill="1" applyBorder="1" applyAlignment="1">
      <alignment horizontal="left" wrapText="1"/>
    </xf>
    <xf numFmtId="164" fontId="2" fillId="0" borderId="1" xfId="1" applyNumberFormat="1" applyFont="1" applyFill="1" applyBorder="1" applyAlignment="1">
      <alignment wrapText="1"/>
    </xf>
    <xf numFmtId="0" fontId="23" fillId="0" borderId="0" xfId="0" applyFont="1" applyAlignment="1">
      <alignment horizontal="center"/>
    </xf>
    <xf numFmtId="0" fontId="12" fillId="0" borderId="0" xfId="0" applyFont="1" applyAlignment="1">
      <alignment horizontal="center"/>
    </xf>
    <xf numFmtId="0" fontId="0" fillId="0" borderId="30" xfId="0" applyBorder="1" applyAlignment="1">
      <alignment wrapText="1"/>
    </xf>
    <xf numFmtId="0" fontId="23" fillId="0" borderId="0" xfId="0" applyFont="1" applyAlignment="1">
      <alignment horizontal="center" wrapText="1"/>
    </xf>
    <xf numFmtId="0" fontId="0" fillId="0" borderId="0" xfId="0" applyAlignment="1"/>
    <xf numFmtId="0" fontId="14" fillId="0" borderId="28" xfId="0" applyFont="1" applyBorder="1" applyAlignment="1">
      <alignment wrapText="1"/>
    </xf>
    <xf numFmtId="0" fontId="12" fillId="0" borderId="0" xfId="0" applyFont="1" applyAlignment="1">
      <alignment horizontal="center" wrapText="1"/>
    </xf>
    <xf numFmtId="0" fontId="25" fillId="0" borderId="0" xfId="0" applyFont="1" applyAlignment="1">
      <alignment horizontal="center"/>
    </xf>
    <xf numFmtId="0" fontId="0" fillId="0" borderId="0" xfId="0" applyAlignment="1">
      <alignment horizontal="center"/>
    </xf>
    <xf numFmtId="0" fontId="21" fillId="0" borderId="0" xfId="0" applyFont="1" applyAlignment="1">
      <alignment horizontal="center"/>
    </xf>
    <xf numFmtId="0" fontId="3" fillId="0" borderId="0" xfId="0" applyFont="1" applyFill="1" applyAlignment="1">
      <alignment horizontal="left"/>
    </xf>
    <xf numFmtId="0" fontId="26" fillId="0" borderId="0" xfId="0" applyFont="1" applyAlignment="1">
      <alignment horizontal="center"/>
    </xf>
    <xf numFmtId="0" fontId="2" fillId="0" borderId="36" xfId="0" applyFont="1" applyBorder="1" applyAlignment="1">
      <alignment wrapText="1"/>
    </xf>
    <xf numFmtId="0" fontId="0" fillId="0" borderId="37" xfId="0" applyBorder="1" applyAlignment="1"/>
    <xf numFmtId="0" fontId="0" fillId="0" borderId="38" xfId="0" applyBorder="1" applyAlignment="1"/>
    <xf numFmtId="0" fontId="0" fillId="0" borderId="33" xfId="0" applyBorder="1" applyAlignment="1"/>
    <xf numFmtId="0" fontId="0" fillId="0" borderId="0" xfId="0" applyBorder="1" applyAlignment="1"/>
    <xf numFmtId="0" fontId="0" fillId="0" borderId="39" xfId="0" applyBorder="1" applyAlignment="1"/>
    <xf numFmtId="0" fontId="0" fillId="0" borderId="40" xfId="0" applyBorder="1" applyAlignment="1"/>
    <xf numFmtId="0" fontId="0" fillId="0" borderId="31" xfId="0" applyBorder="1" applyAlignment="1"/>
    <xf numFmtId="0" fontId="0" fillId="0" borderId="41" xfId="0" applyBorder="1" applyAlignment="1"/>
    <xf numFmtId="0" fontId="0" fillId="0" borderId="37" xfId="0" applyBorder="1" applyAlignment="1">
      <alignment wrapText="1"/>
    </xf>
    <xf numFmtId="0" fontId="0" fillId="0" borderId="38" xfId="0" applyBorder="1" applyAlignment="1">
      <alignment wrapText="1"/>
    </xf>
    <xf numFmtId="0" fontId="0" fillId="0" borderId="33" xfId="0" applyBorder="1" applyAlignment="1">
      <alignment wrapText="1"/>
    </xf>
    <xf numFmtId="0" fontId="0" fillId="0" borderId="0" xfId="0" applyBorder="1" applyAlignment="1">
      <alignment wrapText="1"/>
    </xf>
    <xf numFmtId="0" fontId="0" fillId="0" borderId="39" xfId="0" applyBorder="1" applyAlignment="1">
      <alignment wrapText="1"/>
    </xf>
    <xf numFmtId="0" fontId="0" fillId="0" borderId="40" xfId="0" applyBorder="1" applyAlignment="1">
      <alignment wrapText="1"/>
    </xf>
    <xf numFmtId="0" fontId="0" fillId="0" borderId="31" xfId="0" applyBorder="1" applyAlignment="1">
      <alignment wrapText="1"/>
    </xf>
    <xf numFmtId="0" fontId="0" fillId="0" borderId="41" xfId="0" applyBorder="1" applyAlignment="1">
      <alignment wrapText="1"/>
    </xf>
    <xf numFmtId="0" fontId="2" fillId="0" borderId="37" xfId="0" applyFont="1" applyBorder="1" applyAlignment="1">
      <alignment wrapText="1"/>
    </xf>
    <xf numFmtId="0" fontId="2" fillId="0" borderId="38" xfId="0" applyFont="1" applyBorder="1" applyAlignment="1">
      <alignment wrapText="1"/>
    </xf>
    <xf numFmtId="0" fontId="2" fillId="0" borderId="33" xfId="0" applyFont="1" applyBorder="1" applyAlignment="1">
      <alignment wrapText="1"/>
    </xf>
    <xf numFmtId="0" fontId="2" fillId="0" borderId="0"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2" fillId="0" borderId="31" xfId="0" applyFont="1" applyBorder="1" applyAlignment="1">
      <alignment wrapText="1"/>
    </xf>
    <xf numFmtId="0" fontId="2" fillId="0" borderId="41" xfId="0" applyFont="1" applyBorder="1" applyAlignment="1">
      <alignment wrapText="1"/>
    </xf>
    <xf numFmtId="0" fontId="21" fillId="0" borderId="0" xfId="0" applyFont="1" applyAlignment="1"/>
  </cellXfs>
  <cellStyles count="4">
    <cellStyle name="Currency" xfId="1" builtinId="4" customBuiltin="1"/>
    <cellStyle name="Normal" xfId="0" builtinId="0" customBuiltin="1"/>
    <cellStyle name="Normal_Sheet1" xfId="2"/>
    <cellStyle name="Normal_Sheet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opLeftCell="B1" zoomScaleNormal="100" workbookViewId="0">
      <selection activeCell="A8" sqref="A8"/>
    </sheetView>
  </sheetViews>
  <sheetFormatPr defaultColWidth="9" defaultRowHeight="12.75" x14ac:dyDescent="0.2"/>
  <cols>
    <col min="1" max="1" width="2.875" style="1" customWidth="1"/>
    <col min="2" max="2" width="35.625" style="1" customWidth="1"/>
    <col min="3" max="3" width="18" style="1" hidden="1" customWidth="1"/>
    <col min="4" max="4" width="20.6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0</v>
      </c>
      <c r="B2" s="222"/>
      <c r="C2" s="222"/>
      <c r="D2" s="222"/>
      <c r="E2" s="222"/>
      <c r="F2" s="222"/>
      <c r="G2" s="222"/>
      <c r="H2" s="222"/>
      <c r="I2" s="222"/>
      <c r="J2" s="222"/>
    </row>
    <row r="3" spans="1:10" s="3" customFormat="1" ht="19.899999999999999" customHeight="1" x14ac:dyDescent="0.25">
      <c r="A3" s="222" t="s">
        <v>237</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2</v>
      </c>
      <c r="B5" s="222"/>
      <c r="C5" s="222"/>
      <c r="D5" s="222"/>
      <c r="E5" s="222"/>
      <c r="F5" s="222"/>
      <c r="G5" s="222"/>
      <c r="H5" s="222"/>
      <c r="I5" s="222"/>
      <c r="J5" s="222"/>
    </row>
    <row r="6" spans="1:10" s="3" customFormat="1" ht="30" customHeight="1" x14ac:dyDescent="0.25">
      <c r="A6" s="2"/>
      <c r="B6" s="2"/>
      <c r="C6" s="2"/>
      <c r="D6" s="2"/>
      <c r="E6" s="2"/>
      <c r="F6" s="2"/>
      <c r="G6" s="2"/>
      <c r="H6" s="2"/>
      <c r="I6" s="2"/>
      <c r="J6" s="2"/>
    </row>
    <row r="7" spans="1:10" s="4" customFormat="1" ht="30" customHeight="1" x14ac:dyDescent="0.25">
      <c r="B7" s="5"/>
      <c r="C7" s="5"/>
      <c r="D7" s="6"/>
      <c r="E7" s="6"/>
      <c r="F7" s="6"/>
      <c r="G7" s="6"/>
    </row>
    <row r="8" spans="1:10" ht="24.95" customHeight="1" x14ac:dyDescent="0.2">
      <c r="B8" s="7"/>
      <c r="C8" s="7"/>
      <c r="D8" s="8"/>
    </row>
    <row r="9" spans="1:10" ht="24.95" customHeight="1" x14ac:dyDescent="0.2">
      <c r="D9" s="9" t="s">
        <v>3</v>
      </c>
    </row>
    <row r="10" spans="1:10" ht="14.45" customHeight="1" x14ac:dyDescent="0.2">
      <c r="B10" s="10"/>
      <c r="C10" s="10"/>
      <c r="D10" s="9" t="s">
        <v>4</v>
      </c>
      <c r="E10" s="9"/>
      <c r="F10" s="9"/>
      <c r="G10" s="9"/>
      <c r="H10" s="9"/>
      <c r="I10" s="11"/>
      <c r="J10" s="11"/>
    </row>
    <row r="11" spans="1:10" ht="24.95" customHeight="1" x14ac:dyDescent="0.2">
      <c r="B11" s="12" t="s">
        <v>5</v>
      </c>
      <c r="C11" s="13" t="s">
        <v>6</v>
      </c>
      <c r="D11" s="12" t="s">
        <v>7</v>
      </c>
      <c r="E11" s="9"/>
      <c r="F11" s="9"/>
      <c r="G11" s="9"/>
      <c r="H11" s="9"/>
      <c r="I11" s="11"/>
      <c r="J11" s="11"/>
    </row>
    <row r="12" spans="1:10" ht="15" customHeight="1" x14ac:dyDescent="0.2">
      <c r="A12" s="14">
        <v>1</v>
      </c>
      <c r="B12" s="15" t="s">
        <v>8</v>
      </c>
      <c r="C12" s="16">
        <f>9939*C27</f>
        <v>10237.17</v>
      </c>
      <c r="D12" s="17">
        <f>ROUND(C12,0)</f>
        <v>10237</v>
      </c>
      <c r="E12" s="18"/>
    </row>
    <row r="13" spans="1:10" ht="49.5" customHeight="1" x14ac:dyDescent="0.2">
      <c r="A13" s="14">
        <v>2</v>
      </c>
      <c r="B13" s="19" t="s">
        <v>9</v>
      </c>
      <c r="C13" s="16">
        <f>84424*C27</f>
        <v>86956.72</v>
      </c>
      <c r="D13" s="17">
        <f>ROUND(C13,0)</f>
        <v>86957</v>
      </c>
      <c r="E13" s="18"/>
    </row>
    <row r="14" spans="1:10" ht="35.1" customHeight="1" x14ac:dyDescent="0.2">
      <c r="B14" s="20" t="s">
        <v>234</v>
      </c>
      <c r="C14" s="20"/>
      <c r="D14" s="21">
        <f>SUM(D12:D13)</f>
        <v>97194</v>
      </c>
    </row>
    <row r="15" spans="1:10" ht="39.950000000000003" customHeight="1" x14ac:dyDescent="0.2"/>
    <row r="16" spans="1:10" ht="15" customHeight="1" x14ac:dyDescent="0.2">
      <c r="B16" s="15" t="s">
        <v>10</v>
      </c>
      <c r="C16" s="22"/>
      <c r="D16" s="23">
        <v>154</v>
      </c>
    </row>
    <row r="17" spans="2:4" ht="15" customHeight="1" x14ac:dyDescent="0.2">
      <c r="B17" s="24"/>
      <c r="C17" s="24"/>
    </row>
    <row r="18" spans="2:4" ht="15" customHeight="1" x14ac:dyDescent="0.2">
      <c r="B18" s="15" t="s">
        <v>11</v>
      </c>
      <c r="C18" s="22"/>
      <c r="D18" s="23">
        <v>750</v>
      </c>
    </row>
    <row r="19" spans="2:4" ht="20.100000000000001" hidden="1" customHeight="1" x14ac:dyDescent="0.2">
      <c r="B19" s="25"/>
      <c r="C19" s="25"/>
    </row>
    <row r="20" spans="2:4" hidden="1" x14ac:dyDescent="0.2"/>
    <row r="21" spans="2:4" hidden="1" x14ac:dyDescent="0.2"/>
    <row r="22" spans="2:4" hidden="1" x14ac:dyDescent="0.2"/>
    <row r="23" spans="2:4" hidden="1" x14ac:dyDescent="0.2"/>
    <row r="24" spans="2:4" hidden="1" x14ac:dyDescent="0.2"/>
    <row r="25" spans="2:4" hidden="1" x14ac:dyDescent="0.2"/>
    <row r="26" spans="2:4" hidden="1" x14ac:dyDescent="0.2"/>
    <row r="27" spans="2:4" ht="25.5" hidden="1" x14ac:dyDescent="0.2">
      <c r="B27" s="26" t="s">
        <v>12</v>
      </c>
      <c r="C27" s="27">
        <v>1.03</v>
      </c>
    </row>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&amp;C2014 BGSMC KIDNEY CADAVERIC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F4" zoomScaleNormal="100" workbookViewId="0">
      <selection activeCell="K37" sqref="A4:K37"/>
    </sheetView>
  </sheetViews>
  <sheetFormatPr defaultRowHeight="12" x14ac:dyDescent="0.15"/>
  <cols>
    <col min="1" max="1" width="3.125" customWidth="1"/>
    <col min="2" max="2" width="39" customWidth="1"/>
    <col min="3" max="3" width="23.75" hidden="1" customWidth="1"/>
    <col min="4" max="4" width="22.875" customWidth="1"/>
    <col min="5" max="5" width="11.5" customWidth="1"/>
    <col min="6" max="6" width="9.875" customWidth="1"/>
    <col min="7" max="7" width="11.375" customWidth="1"/>
    <col min="8" max="8" width="8.875" customWidth="1"/>
    <col min="9" max="9" width="11.5" customWidth="1"/>
    <col min="10" max="10" width="23.375" customWidth="1"/>
    <col min="11" max="11" width="8.875" customWidth="1"/>
  </cols>
  <sheetData>
    <row r="1" spans="1:10" ht="12.75" x14ac:dyDescent="0.2">
      <c r="A1" s="53"/>
      <c r="B1" s="53"/>
      <c r="C1" s="53"/>
      <c r="D1" s="53"/>
      <c r="E1" s="53"/>
      <c r="F1" s="53"/>
      <c r="G1" s="53"/>
      <c r="H1" s="53"/>
      <c r="I1" s="53"/>
      <c r="J1" s="53"/>
    </row>
    <row r="2" spans="1:10" s="150" customFormat="1" ht="19.899999999999999" customHeight="1" x14ac:dyDescent="0.25">
      <c r="A2" s="227" t="s">
        <v>32</v>
      </c>
      <c r="B2" s="227"/>
      <c r="C2" s="227"/>
      <c r="D2" s="227"/>
      <c r="E2" s="227"/>
      <c r="F2" s="227"/>
      <c r="G2" s="227"/>
      <c r="H2" s="227"/>
      <c r="I2" s="227"/>
      <c r="J2" s="227"/>
    </row>
    <row r="3" spans="1:10" s="150" customFormat="1" ht="19.899999999999999" customHeight="1" x14ac:dyDescent="0.25">
      <c r="A3" s="227" t="s">
        <v>63</v>
      </c>
      <c r="B3" s="227"/>
      <c r="C3" s="227"/>
      <c r="D3" s="227"/>
      <c r="E3" s="227"/>
      <c r="F3" s="227"/>
      <c r="G3" s="227"/>
      <c r="H3" s="227"/>
      <c r="I3" s="227"/>
      <c r="J3" s="227"/>
    </row>
    <row r="4" spans="1:10" s="150" customFormat="1" ht="19.899999999999999" customHeight="1" x14ac:dyDescent="0.25">
      <c r="A4" s="227" t="s">
        <v>236</v>
      </c>
      <c r="B4" s="234"/>
      <c r="C4" s="234"/>
      <c r="D4" s="234"/>
      <c r="E4" s="234"/>
      <c r="F4" s="234"/>
      <c r="G4" s="234"/>
      <c r="H4" s="234"/>
      <c r="I4" s="234"/>
      <c r="J4" s="159"/>
    </row>
    <row r="5" spans="1:10" s="150" customFormat="1" ht="19.899999999999999" customHeight="1" x14ac:dyDescent="0.25">
      <c r="A5" s="227" t="s">
        <v>1</v>
      </c>
      <c r="B5" s="227"/>
      <c r="C5" s="227"/>
      <c r="D5" s="227"/>
      <c r="E5" s="227"/>
      <c r="F5" s="227"/>
      <c r="G5" s="227"/>
      <c r="H5" s="227"/>
      <c r="I5" s="227"/>
      <c r="J5" s="227"/>
    </row>
    <row r="6" spans="1:10" s="150" customFormat="1" ht="19.899999999999999" customHeight="1" x14ac:dyDescent="0.25">
      <c r="A6" s="227" t="s">
        <v>34</v>
      </c>
      <c r="B6" s="227"/>
      <c r="C6" s="227"/>
      <c r="D6" s="227"/>
      <c r="E6" s="227"/>
      <c r="F6" s="227"/>
      <c r="G6" s="227"/>
      <c r="H6" s="227"/>
      <c r="I6" s="227"/>
      <c r="J6" s="227"/>
    </row>
    <row r="7" spans="1:10" ht="15.75" x14ac:dyDescent="0.25">
      <c r="A7" s="44"/>
      <c r="B7" s="44" t="s">
        <v>64</v>
      </c>
      <c r="C7" s="44"/>
      <c r="D7" s="44"/>
      <c r="E7" s="44"/>
      <c r="F7" s="44"/>
      <c r="G7" s="44"/>
      <c r="H7" s="44"/>
      <c r="I7" s="44"/>
      <c r="J7" s="44"/>
    </row>
    <row r="8" spans="1:10" ht="15" x14ac:dyDescent="0.25">
      <c r="A8" s="54"/>
      <c r="B8" s="55"/>
      <c r="C8" s="55"/>
      <c r="D8" s="56"/>
      <c r="E8" s="56"/>
      <c r="F8" s="56"/>
      <c r="G8" s="56"/>
      <c r="H8" s="54"/>
      <c r="I8" s="54"/>
      <c r="J8" s="54"/>
    </row>
    <row r="9" spans="1:10" ht="15" x14ac:dyDescent="0.25">
      <c r="A9" s="54"/>
      <c r="B9" s="55"/>
      <c r="C9" s="55"/>
      <c r="D9" s="54"/>
      <c r="E9" s="54"/>
      <c r="F9" s="54"/>
      <c r="G9" s="54"/>
      <c r="H9" s="54"/>
      <c r="I9" s="54"/>
      <c r="J9" s="54"/>
    </row>
    <row r="10" spans="1:10" s="149" customFormat="1" ht="12.75" x14ac:dyDescent="0.2">
      <c r="A10" s="53"/>
      <c r="B10" s="57"/>
      <c r="C10" s="57"/>
      <c r="D10" s="53"/>
      <c r="E10" s="53"/>
      <c r="F10" s="53"/>
      <c r="G10" s="53"/>
      <c r="H10" s="53"/>
      <c r="I10" s="53"/>
      <c r="J10" s="53"/>
    </row>
    <row r="11" spans="1:10" s="1" customFormat="1" ht="12.75" x14ac:dyDescent="0.2">
      <c r="A11" s="160"/>
      <c r="B11" s="57"/>
      <c r="C11" s="57"/>
      <c r="D11" s="160"/>
      <c r="E11" s="160"/>
      <c r="F11" s="160"/>
      <c r="G11" s="160"/>
      <c r="H11" s="160"/>
      <c r="I11" s="160"/>
      <c r="J11" s="160"/>
    </row>
    <row r="12" spans="1:10" s="1" customFormat="1" ht="12.75" x14ac:dyDescent="0.2">
      <c r="A12" s="160"/>
      <c r="B12" s="57"/>
      <c r="C12" s="57"/>
      <c r="D12" s="58"/>
      <c r="E12" s="160"/>
      <c r="F12" s="160"/>
      <c r="G12" s="160"/>
      <c r="H12" s="160"/>
      <c r="I12" s="160"/>
      <c r="J12" s="160"/>
    </row>
    <row r="13" spans="1:10" s="1" customFormat="1" ht="12.75" x14ac:dyDescent="0.2">
      <c r="A13" s="160"/>
      <c r="B13" s="160"/>
      <c r="C13" s="160"/>
      <c r="D13" s="162" t="s">
        <v>65</v>
      </c>
      <c r="E13" s="160"/>
      <c r="F13" s="160"/>
      <c r="G13" s="160"/>
      <c r="H13" s="160"/>
      <c r="I13" s="160"/>
      <c r="J13" s="160"/>
    </row>
    <row r="14" spans="1:10" s="1" customFormat="1" ht="12.75" x14ac:dyDescent="0.2">
      <c r="A14" s="160"/>
      <c r="B14" s="59"/>
      <c r="C14" s="59"/>
      <c r="D14" s="162" t="s">
        <v>36</v>
      </c>
      <c r="E14" s="233"/>
      <c r="F14" s="233"/>
      <c r="G14" s="233"/>
      <c r="H14" s="233"/>
      <c r="I14" s="233"/>
      <c r="J14" s="233"/>
    </row>
    <row r="15" spans="1:10" s="1" customFormat="1" ht="25.5" x14ac:dyDescent="0.2">
      <c r="A15" s="160"/>
      <c r="B15" s="60" t="s">
        <v>5</v>
      </c>
      <c r="C15" s="30" t="s">
        <v>6</v>
      </c>
      <c r="D15" s="60" t="s">
        <v>7</v>
      </c>
      <c r="E15" s="162"/>
      <c r="F15" s="162"/>
      <c r="G15" s="162"/>
      <c r="H15" s="162"/>
      <c r="I15" s="162"/>
      <c r="J15" s="162"/>
    </row>
    <row r="16" spans="1:10" s="1" customFormat="1" ht="12.75" x14ac:dyDescent="0.2">
      <c r="A16" s="61">
        <v>1</v>
      </c>
      <c r="B16" s="62" t="s">
        <v>8</v>
      </c>
      <c r="C16" s="63">
        <f>9400*C28</f>
        <v>9682</v>
      </c>
      <c r="D16" s="63">
        <f>ROUND(C16,0)</f>
        <v>9682</v>
      </c>
      <c r="E16" s="160"/>
      <c r="F16" s="160"/>
      <c r="G16" s="160"/>
      <c r="H16" s="160"/>
      <c r="I16" s="160"/>
      <c r="J16" s="160"/>
    </row>
    <row r="17" spans="1:10" s="1" customFormat="1" ht="12.75" x14ac:dyDescent="0.2">
      <c r="A17" s="61">
        <v>2</v>
      </c>
      <c r="B17" s="62" t="s">
        <v>21</v>
      </c>
      <c r="C17" s="63">
        <f>150350*C28</f>
        <v>154860.5</v>
      </c>
      <c r="D17" s="63">
        <f>ROUND(C17,0)</f>
        <v>154861</v>
      </c>
      <c r="E17" s="160"/>
      <c r="F17" s="160"/>
      <c r="G17" s="160"/>
      <c r="H17" s="160"/>
      <c r="I17" s="160"/>
      <c r="J17" s="160"/>
    </row>
    <row r="18" spans="1:10" s="1" customFormat="1" ht="29.45" customHeight="1" x14ac:dyDescent="0.2">
      <c r="A18" s="61">
        <v>3</v>
      </c>
      <c r="B18" s="64" t="s">
        <v>22</v>
      </c>
      <c r="C18" s="63">
        <f>81400*C28</f>
        <v>83842</v>
      </c>
      <c r="D18" s="63">
        <f>ROUND(C18,0)</f>
        <v>83842</v>
      </c>
      <c r="E18" s="160"/>
      <c r="F18" s="160"/>
      <c r="G18" s="160"/>
      <c r="H18" s="160"/>
      <c r="I18" s="160"/>
      <c r="J18" s="160"/>
    </row>
    <row r="19" spans="1:10" s="1" customFormat="1" ht="36.6" customHeight="1" x14ac:dyDescent="0.2">
      <c r="A19" s="61">
        <v>4</v>
      </c>
      <c r="B19" s="64" t="s">
        <v>30</v>
      </c>
      <c r="C19" s="63">
        <f>29500*C28</f>
        <v>30385</v>
      </c>
      <c r="D19" s="63">
        <f>ROUND(C19,0)</f>
        <v>30385</v>
      </c>
      <c r="E19" s="160"/>
      <c r="F19" s="160"/>
      <c r="G19" s="160"/>
      <c r="H19" s="160"/>
      <c r="I19" s="160"/>
      <c r="J19" s="160"/>
    </row>
    <row r="20" spans="1:10" s="1" customFormat="1" ht="12.75" x14ac:dyDescent="0.2">
      <c r="A20" s="160"/>
      <c r="B20" s="20" t="s">
        <v>66</v>
      </c>
      <c r="C20" s="162"/>
      <c r="D20" s="65">
        <f>SUM(D16:D19)</f>
        <v>278770</v>
      </c>
      <c r="E20" s="160"/>
      <c r="F20" s="160"/>
      <c r="G20" s="160"/>
      <c r="H20" s="160"/>
      <c r="I20" s="160"/>
      <c r="J20" s="160"/>
    </row>
    <row r="21" spans="1:10" s="149" customFormat="1" ht="12.75" x14ac:dyDescent="0.2">
      <c r="A21" s="53"/>
      <c r="B21" s="53"/>
      <c r="C21" s="53"/>
      <c r="D21" s="53"/>
      <c r="E21" s="53"/>
      <c r="F21" s="53"/>
      <c r="G21" s="53"/>
      <c r="H21" s="53"/>
      <c r="I21" s="53"/>
      <c r="J21" s="53"/>
    </row>
    <row r="22" spans="1:10" s="149" customFormat="1" ht="12.75" x14ac:dyDescent="0.2">
      <c r="A22" s="53"/>
      <c r="B22" s="25"/>
      <c r="C22" s="25"/>
      <c r="D22" s="53"/>
      <c r="E22" s="53"/>
      <c r="F22" s="53"/>
      <c r="G22" s="53"/>
      <c r="H22" s="53"/>
      <c r="I22" s="53"/>
      <c r="J22" s="53"/>
    </row>
    <row r="23" spans="1:10" s="149" customFormat="1" ht="40.700000000000003" customHeight="1" x14ac:dyDescent="0.2">
      <c r="A23" s="53"/>
      <c r="B23" s="66" t="s">
        <v>67</v>
      </c>
      <c r="C23" s="25"/>
      <c r="D23" s="53"/>
      <c r="E23" s="53"/>
      <c r="F23" s="53"/>
      <c r="G23" s="53"/>
      <c r="H23" s="53"/>
      <c r="I23" s="53"/>
      <c r="J23" s="53"/>
    </row>
    <row r="24" spans="1:10" s="149" customFormat="1" ht="12.75" hidden="1" x14ac:dyDescent="0.2">
      <c r="A24" s="53"/>
      <c r="B24" s="53"/>
      <c r="C24" s="53"/>
      <c r="D24" s="53"/>
      <c r="E24" s="53"/>
      <c r="F24" s="53"/>
      <c r="G24" s="53"/>
      <c r="H24" s="53"/>
      <c r="I24" s="53"/>
      <c r="J24" s="53"/>
    </row>
    <row r="25" spans="1:10" hidden="1" x14ac:dyDescent="0.15"/>
    <row r="26" spans="1:10" hidden="1" x14ac:dyDescent="0.15"/>
    <row r="27" spans="1:10" hidden="1" x14ac:dyDescent="0.15"/>
    <row r="28" spans="1:10" ht="25.5" hidden="1" x14ac:dyDescent="0.2">
      <c r="B28" s="26" t="s">
        <v>12</v>
      </c>
      <c r="C28" s="27">
        <v>1.03</v>
      </c>
    </row>
    <row r="29" spans="1:10" ht="12.75" hidden="1" x14ac:dyDescent="0.2">
      <c r="B29" s="24"/>
    </row>
    <row r="30" spans="1:10" ht="12.75" hidden="1" x14ac:dyDescent="0.2">
      <c r="B30" s="24"/>
      <c r="C30" s="27"/>
    </row>
    <row r="31" spans="1:10" ht="12.75" hidden="1" x14ac:dyDescent="0.2">
      <c r="B31" s="24"/>
      <c r="C31" s="27"/>
    </row>
    <row r="32" spans="1:10" ht="12.75" x14ac:dyDescent="0.2">
      <c r="B32" s="24"/>
      <c r="C32" s="27"/>
    </row>
  </sheetData>
  <mergeCells count="6">
    <mergeCell ref="A2:J2"/>
    <mergeCell ref="A3:J3"/>
    <mergeCell ref="A5:J5"/>
    <mergeCell ref="A6:J6"/>
    <mergeCell ref="E14:J14"/>
    <mergeCell ref="A4:I4"/>
  </mergeCells>
  <pageMargins left="0.25" right="0.25" top="0.75" bottom="0.75" header="0.30000000000000004" footer="0.30000000000000004"/>
  <pageSetup scale="80" fitToWidth="0" fitToHeight="0" orientation="landscape" r:id="rId1"/>
  <headerFooter>
    <oddFooter>&amp;C&amp;"Arial,Regular"&amp;8 2014 MAYO SIMUL CADAVERIC LIVER KIDNEY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zoomScaleNormal="100" workbookViewId="0">
      <selection activeCell="E16" sqref="E16"/>
    </sheetView>
  </sheetViews>
  <sheetFormatPr defaultColWidth="9" defaultRowHeight="12.75" x14ac:dyDescent="0.2"/>
  <cols>
    <col min="1" max="1" width="2.875" style="53" customWidth="1"/>
    <col min="2" max="2" width="35.625" style="53" customWidth="1"/>
    <col min="3" max="3" width="21.5" style="53" hidden="1" customWidth="1"/>
    <col min="4" max="4" width="20.625" style="53" customWidth="1"/>
    <col min="5" max="6" width="18.625" style="53" customWidth="1"/>
    <col min="7" max="8" width="12.625" style="53" customWidth="1"/>
    <col min="9" max="9" width="17.625" style="53" customWidth="1"/>
    <col min="10" max="10" width="7.625" style="53" customWidth="1"/>
    <col min="11" max="11" width="9" style="53" customWidth="1"/>
    <col min="12" max="16384" width="9" style="53"/>
  </cols>
  <sheetData>
    <row r="2" spans="1:10" s="67" customFormat="1" ht="19.899999999999999" customHeight="1" x14ac:dyDescent="0.25">
      <c r="A2" s="227" t="s">
        <v>32</v>
      </c>
      <c r="B2" s="227"/>
      <c r="C2" s="227"/>
      <c r="D2" s="227"/>
      <c r="E2" s="227"/>
      <c r="F2" s="227"/>
      <c r="G2" s="227"/>
      <c r="H2" s="227"/>
      <c r="I2" s="227"/>
      <c r="J2" s="227"/>
    </row>
    <row r="3" spans="1:10" s="67" customFormat="1" ht="19.899999999999999" customHeight="1" x14ac:dyDescent="0.25">
      <c r="A3" s="227" t="s">
        <v>235</v>
      </c>
      <c r="B3" s="227"/>
      <c r="C3" s="227"/>
      <c r="D3" s="227"/>
      <c r="E3" s="227"/>
      <c r="F3" s="227"/>
      <c r="G3" s="227"/>
      <c r="H3" s="227"/>
      <c r="I3" s="227"/>
      <c r="J3" s="227"/>
    </row>
    <row r="4" spans="1:10" s="67" customFormat="1" ht="19.899999999999999" customHeight="1" x14ac:dyDescent="0.25">
      <c r="A4" s="227" t="s">
        <v>1</v>
      </c>
      <c r="B4" s="227"/>
      <c r="C4" s="227"/>
      <c r="D4" s="227"/>
      <c r="E4" s="227"/>
      <c r="F4" s="227"/>
      <c r="G4" s="227"/>
      <c r="H4" s="227"/>
      <c r="I4" s="227"/>
      <c r="J4" s="227"/>
    </row>
    <row r="5" spans="1:10" s="67" customFormat="1" ht="19.899999999999999" customHeight="1" x14ac:dyDescent="0.25">
      <c r="A5" s="227" t="s">
        <v>34</v>
      </c>
      <c r="B5" s="227"/>
      <c r="C5" s="227"/>
      <c r="D5" s="227"/>
      <c r="E5" s="227"/>
      <c r="F5" s="227"/>
      <c r="G5" s="227"/>
      <c r="H5" s="227"/>
      <c r="I5" s="227"/>
      <c r="J5" s="227"/>
    </row>
    <row r="6" spans="1:10" s="67" customFormat="1" ht="12.75" customHeight="1" x14ac:dyDescent="0.25">
      <c r="A6" s="44"/>
      <c r="B6" s="44"/>
      <c r="C6" s="44"/>
      <c r="D6" s="44"/>
      <c r="E6" s="44"/>
      <c r="F6" s="44"/>
      <c r="G6" s="44"/>
      <c r="H6" s="44"/>
      <c r="I6" s="44"/>
      <c r="J6" s="44"/>
    </row>
    <row r="7" spans="1:10" s="54" customFormat="1" ht="30" customHeight="1" x14ac:dyDescent="0.25">
      <c r="B7" s="55"/>
      <c r="C7" s="55"/>
      <c r="D7" s="56"/>
      <c r="E7" s="56"/>
      <c r="F7" s="56"/>
      <c r="G7" s="56"/>
    </row>
    <row r="8" spans="1:10" s="54" customFormat="1" ht="30" customHeight="1" x14ac:dyDescent="0.25">
      <c r="B8" s="55"/>
      <c r="C8" s="55"/>
    </row>
    <row r="9" spans="1:10" s="54" customFormat="1" ht="30" customHeight="1" x14ac:dyDescent="0.25">
      <c r="B9" s="55"/>
      <c r="C9" s="55"/>
    </row>
    <row r="10" spans="1:10" s="54" customFormat="1" ht="18.75" customHeight="1" x14ac:dyDescent="0.25">
      <c r="B10" s="55"/>
      <c r="C10" s="55"/>
    </row>
    <row r="11" spans="1:10" ht="18.75" customHeight="1" x14ac:dyDescent="0.2">
      <c r="B11" s="57"/>
      <c r="C11" s="57"/>
      <c r="D11" s="58"/>
    </row>
    <row r="12" spans="1:10" ht="18.75" customHeight="1" x14ac:dyDescent="0.2">
      <c r="D12" s="11" t="s">
        <v>68</v>
      </c>
    </row>
    <row r="13" spans="1:10" ht="13.15" customHeight="1" x14ac:dyDescent="0.2">
      <c r="B13" s="59"/>
      <c r="C13" s="59"/>
      <c r="D13" s="11" t="s">
        <v>36</v>
      </c>
      <c r="E13" s="232"/>
      <c r="F13" s="232"/>
      <c r="G13" s="232"/>
      <c r="H13" s="232"/>
      <c r="I13" s="232"/>
      <c r="J13" s="232"/>
    </row>
    <row r="14" spans="1:10" ht="24.95" customHeight="1" x14ac:dyDescent="0.2">
      <c r="B14" s="60" t="s">
        <v>5</v>
      </c>
      <c r="C14" s="30" t="s">
        <v>6</v>
      </c>
      <c r="D14" s="60" t="s">
        <v>7</v>
      </c>
      <c r="E14" s="11"/>
      <c r="F14" s="11"/>
      <c r="G14" s="11"/>
      <c r="H14" s="11"/>
      <c r="I14" s="11"/>
      <c r="J14" s="11"/>
    </row>
    <row r="15" spans="1:10" ht="15" customHeight="1" x14ac:dyDescent="0.2">
      <c r="A15" s="61">
        <v>1</v>
      </c>
      <c r="B15" s="62" t="s">
        <v>8</v>
      </c>
      <c r="C15" s="63">
        <f>9400*C31</f>
        <v>9682</v>
      </c>
      <c r="D15" s="63">
        <f>ROUND(C15,0)</f>
        <v>9682</v>
      </c>
    </row>
    <row r="16" spans="1:10" ht="15" customHeight="1" x14ac:dyDescent="0.2">
      <c r="A16" s="61">
        <v>2</v>
      </c>
      <c r="B16" s="62" t="s">
        <v>21</v>
      </c>
      <c r="C16" s="63">
        <f>110500*C31</f>
        <v>113815</v>
      </c>
      <c r="D16" s="63">
        <f>ROUND(C16,0)</f>
        <v>113815</v>
      </c>
    </row>
    <row r="17" spans="1:10" ht="39.75" customHeight="1" x14ac:dyDescent="0.2">
      <c r="A17" s="61">
        <v>3</v>
      </c>
      <c r="B17" s="64" t="s">
        <v>22</v>
      </c>
      <c r="C17" s="63">
        <f>81400*C31</f>
        <v>83842</v>
      </c>
      <c r="D17" s="63">
        <f>ROUND(C17,0)</f>
        <v>83842</v>
      </c>
    </row>
    <row r="18" spans="1:10" ht="35.1" customHeight="1" x14ac:dyDescent="0.2">
      <c r="A18" s="61">
        <v>4</v>
      </c>
      <c r="B18" s="64" t="s">
        <v>30</v>
      </c>
      <c r="C18" s="63">
        <f>29500*C31</f>
        <v>30385</v>
      </c>
      <c r="D18" s="63">
        <f>ROUND(C18,0)</f>
        <v>30385</v>
      </c>
    </row>
    <row r="19" spans="1:10" ht="35.1" customHeight="1" x14ac:dyDescent="0.2">
      <c r="B19" s="20" t="s">
        <v>31</v>
      </c>
      <c r="C19" s="65"/>
      <c r="D19" s="65">
        <f>SUM(D15:D18)</f>
        <v>237724</v>
      </c>
    </row>
    <row r="20" spans="1:10" ht="39.950000000000003" customHeight="1" x14ac:dyDescent="0.2"/>
    <row r="21" spans="1:10" ht="20.100000000000001" customHeight="1" x14ac:dyDescent="0.2">
      <c r="B21" s="62" t="s">
        <v>10</v>
      </c>
      <c r="C21" s="68"/>
      <c r="D21" s="69" t="s">
        <v>40</v>
      </c>
    </row>
    <row r="22" spans="1:10" ht="20.100000000000001" customHeight="1" x14ac:dyDescent="0.2">
      <c r="B22" s="25"/>
      <c r="C22" s="25"/>
    </row>
    <row r="23" spans="1:10" ht="20.100000000000001" customHeight="1" x14ac:dyDescent="0.2">
      <c r="B23" s="62" t="s">
        <v>11</v>
      </c>
      <c r="C23" s="68"/>
      <c r="D23" s="69" t="s">
        <v>40</v>
      </c>
    </row>
    <row r="24" spans="1:10" ht="20.100000000000001" customHeight="1" x14ac:dyDescent="0.2">
      <c r="B24" s="25"/>
      <c r="C24" s="25"/>
    </row>
    <row r="25" spans="1:10" ht="30" customHeight="1" x14ac:dyDescent="0.2">
      <c r="B25" s="66" t="s">
        <v>67</v>
      </c>
      <c r="C25" s="25"/>
    </row>
    <row r="26" spans="1:10" hidden="1" x14ac:dyDescent="0.2"/>
    <row r="27" spans="1:10" hidden="1" x14ac:dyDescent="0.2"/>
    <row r="28" spans="1:10" hidden="1" x14ac:dyDescent="0.2"/>
    <row r="29" spans="1:10" customFormat="1" hidden="1" x14ac:dyDescent="0.2">
      <c r="A29" s="53"/>
      <c r="B29" s="70"/>
      <c r="C29" s="70"/>
      <c r="D29" s="53"/>
      <c r="E29" s="53"/>
      <c r="F29" s="53"/>
      <c r="G29" s="53"/>
      <c r="H29" s="53"/>
      <c r="I29" s="53"/>
      <c r="J29" s="53"/>
    </row>
    <row r="30" spans="1:10" customFormat="1" hidden="1" x14ac:dyDescent="0.2">
      <c r="A30" s="53"/>
      <c r="B30" s="70"/>
      <c r="C30" s="70"/>
      <c r="D30" s="53"/>
      <c r="E30" s="53"/>
      <c r="F30" s="53"/>
      <c r="G30" s="53"/>
      <c r="H30" s="53"/>
      <c r="I30" s="53"/>
      <c r="J30" s="53"/>
    </row>
    <row r="31" spans="1:10" ht="25.5" hidden="1" x14ac:dyDescent="0.2">
      <c r="B31" s="26" t="s">
        <v>12</v>
      </c>
      <c r="C31" s="27">
        <v>1.03</v>
      </c>
    </row>
    <row r="32" spans="1:10" hidden="1" x14ac:dyDescent="0.2">
      <c r="B32" s="24"/>
    </row>
    <row r="33" spans="2:3" hidden="1" x14ac:dyDescent="0.2">
      <c r="B33" s="24"/>
      <c r="C33" s="27"/>
    </row>
    <row r="34" spans="2:3" hidden="1" x14ac:dyDescent="0.2">
      <c r="B34" s="24"/>
      <c r="C34" s="27"/>
    </row>
    <row r="35" spans="2:3" hidden="1" x14ac:dyDescent="0.2">
      <c r="B35" s="24"/>
      <c r="C35" s="27"/>
    </row>
  </sheetData>
  <mergeCells count="5">
    <mergeCell ref="A2:J2"/>
    <mergeCell ref="A3:J3"/>
    <mergeCell ref="A4:J4"/>
    <mergeCell ref="A5:J5"/>
    <mergeCell ref="E13:J13"/>
  </mergeCells>
  <pageMargins left="0.05" right="0.05" top="0.25" bottom="0.25" header="0.25" footer="0.25"/>
  <pageSetup scale="80" fitToWidth="0" fitToHeight="0" orientation="landscape" r:id="rId1"/>
  <headerFooter alignWithMargins="0">
    <oddFooter>&amp;C&amp;8 2014 MAYO CADAVERIC LIVER ADULT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topLeftCell="B8" zoomScaleNormal="100" workbookViewId="0">
      <selection activeCell="D8" sqref="D8"/>
    </sheetView>
  </sheetViews>
  <sheetFormatPr defaultColWidth="9" defaultRowHeight="12.75" x14ac:dyDescent="0.2"/>
  <cols>
    <col min="1" max="1" width="2.875" style="1" customWidth="1"/>
    <col min="2" max="2" width="35.625" style="1" customWidth="1"/>
    <col min="3" max="3" width="23.5" style="1" hidden="1" customWidth="1"/>
    <col min="4" max="4" width="28.875" style="1" customWidth="1"/>
    <col min="5" max="5" width="18.625" style="1" customWidth="1"/>
    <col min="6" max="6" width="17.625" style="1" customWidth="1"/>
    <col min="7" max="8" width="12.625" style="1" customWidth="1"/>
    <col min="9" max="9" width="17.25" style="1" customWidth="1"/>
    <col min="10" max="10" width="7.625" style="1" customWidth="1"/>
    <col min="11" max="11" width="17.375" style="1" customWidth="1"/>
    <col min="12" max="12" width="9" style="1" customWidth="1"/>
    <col min="13" max="16384" width="9" style="1"/>
  </cols>
  <sheetData>
    <row r="2" spans="1:11" s="3" customFormat="1" ht="19.899999999999999" customHeight="1" x14ac:dyDescent="0.25">
      <c r="A2" s="222" t="s">
        <v>69</v>
      </c>
      <c r="B2" s="222"/>
      <c r="C2" s="222"/>
      <c r="D2" s="222"/>
      <c r="E2" s="222"/>
      <c r="F2" s="222"/>
      <c r="G2" s="222"/>
      <c r="H2" s="222"/>
      <c r="I2" s="222"/>
      <c r="J2" s="222"/>
      <c r="K2" s="222"/>
    </row>
    <row r="3" spans="1:11" s="3" customFormat="1" ht="19.899999999999999" customHeight="1" x14ac:dyDescent="0.25">
      <c r="A3" s="222" t="s">
        <v>70</v>
      </c>
      <c r="B3" s="222"/>
      <c r="C3" s="222"/>
      <c r="D3" s="222"/>
      <c r="E3" s="222"/>
      <c r="F3" s="222"/>
      <c r="G3" s="222"/>
      <c r="H3" s="222"/>
      <c r="I3" s="222"/>
      <c r="J3" s="222"/>
      <c r="K3" s="222"/>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34</v>
      </c>
      <c r="B5" s="222"/>
      <c r="C5" s="222"/>
      <c r="D5" s="222"/>
      <c r="E5" s="222"/>
      <c r="F5" s="222"/>
      <c r="G5" s="222"/>
      <c r="H5" s="222"/>
      <c r="I5" s="222"/>
      <c r="J5" s="222"/>
      <c r="K5" s="222"/>
    </row>
    <row r="6" spans="1:11" s="3" customFormat="1" ht="30" customHeight="1" x14ac:dyDescent="0.25">
      <c r="A6" s="2"/>
      <c r="B6" s="2"/>
      <c r="C6" s="2"/>
      <c r="D6" s="2"/>
      <c r="E6" s="2"/>
      <c r="F6" s="2"/>
      <c r="G6" s="2"/>
      <c r="H6" s="2"/>
      <c r="I6" s="2"/>
      <c r="J6" s="2"/>
      <c r="K6" s="2"/>
    </row>
    <row r="7" spans="1:11" s="4" customFormat="1" ht="30" customHeight="1" x14ac:dyDescent="0.2">
      <c r="A7" s="1"/>
      <c r="B7" s="7"/>
      <c r="C7" s="7"/>
      <c r="D7" s="1"/>
    </row>
    <row r="8" spans="1:11" ht="24.95" customHeight="1" x14ac:dyDescent="0.2">
      <c r="D8" s="161" t="s">
        <v>71</v>
      </c>
    </row>
    <row r="9" spans="1:11" ht="13.9" customHeight="1" x14ac:dyDescent="0.2">
      <c r="B9" s="10"/>
      <c r="C9" s="10"/>
      <c r="D9" s="161" t="s">
        <v>72</v>
      </c>
      <c r="E9" s="161"/>
      <c r="F9" s="161"/>
      <c r="G9" s="161"/>
      <c r="H9" s="161"/>
      <c r="I9" s="162"/>
      <c r="J9" s="162"/>
      <c r="K9" s="162"/>
    </row>
    <row r="10" spans="1:11" ht="24.95" customHeight="1" x14ac:dyDescent="0.2">
      <c r="B10" s="12" t="s">
        <v>5</v>
      </c>
      <c r="C10" s="30" t="s">
        <v>6</v>
      </c>
      <c r="D10" s="12" t="s">
        <v>7</v>
      </c>
      <c r="E10" s="161"/>
      <c r="F10" s="161"/>
      <c r="G10" s="161"/>
      <c r="H10" s="161"/>
      <c r="I10" s="162"/>
      <c r="J10" s="162"/>
      <c r="K10" s="162"/>
    </row>
    <row r="11" spans="1:11" ht="15" customHeight="1" x14ac:dyDescent="0.2">
      <c r="A11" s="14">
        <v>1</v>
      </c>
      <c r="B11" s="29" t="s">
        <v>8</v>
      </c>
      <c r="C11" s="151">
        <f>10100*C27</f>
        <v>10403</v>
      </c>
      <c r="D11" s="151">
        <f>ROUND(C11,0)</f>
        <v>10403</v>
      </c>
    </row>
    <row r="12" spans="1:11" ht="15" customHeight="1" x14ac:dyDescent="0.2">
      <c r="A12" s="14">
        <v>2</v>
      </c>
      <c r="B12" s="29" t="s">
        <v>21</v>
      </c>
      <c r="C12" s="151">
        <f>89106*C27</f>
        <v>91779.180000000008</v>
      </c>
      <c r="D12" s="151">
        <f>ROUND(C12,0)</f>
        <v>91779</v>
      </c>
    </row>
    <row r="13" spans="1:11" ht="45.75" customHeight="1" x14ac:dyDescent="0.2">
      <c r="A13" s="14">
        <v>3</v>
      </c>
      <c r="B13" s="35" t="s">
        <v>22</v>
      </c>
      <c r="C13" s="151">
        <f>37476*C27</f>
        <v>38600.28</v>
      </c>
      <c r="D13" s="151">
        <f>ROUND(C13,0)</f>
        <v>38600</v>
      </c>
    </row>
    <row r="14" spans="1:11" ht="44.25" customHeight="1" x14ac:dyDescent="0.2">
      <c r="A14" s="14">
        <v>4</v>
      </c>
      <c r="B14" s="35" t="s">
        <v>30</v>
      </c>
      <c r="C14" s="151">
        <f>6038*C27</f>
        <v>6219.14</v>
      </c>
      <c r="D14" s="151">
        <f>ROUND(C14,0)</f>
        <v>6219</v>
      </c>
    </row>
    <row r="15" spans="1:11" ht="35.1" customHeight="1" x14ac:dyDescent="0.2">
      <c r="B15" s="20" t="s">
        <v>73</v>
      </c>
      <c r="C15" s="20"/>
      <c r="D15" s="21">
        <f>SUM(D11:D14)</f>
        <v>147001</v>
      </c>
      <c r="K15" s="36"/>
    </row>
    <row r="16" spans="1:11" ht="39.950000000000003" customHeight="1" x14ac:dyDescent="0.2"/>
    <row r="17" spans="2:4" ht="20.100000000000001" customHeight="1" x14ac:dyDescent="0.2">
      <c r="B17" s="15" t="s">
        <v>10</v>
      </c>
      <c r="C17" s="22"/>
      <c r="D17" s="23" t="s">
        <v>40</v>
      </c>
    </row>
    <row r="18" spans="2:4" ht="20.100000000000001" customHeight="1" x14ac:dyDescent="0.2">
      <c r="B18" s="24"/>
      <c r="C18" s="24"/>
    </row>
    <row r="19" spans="2:4" ht="20.100000000000001" customHeight="1" x14ac:dyDescent="0.2">
      <c r="B19" s="15" t="s">
        <v>11</v>
      </c>
      <c r="C19" s="22"/>
      <c r="D19" s="23" t="s">
        <v>40</v>
      </c>
    </row>
    <row r="20" spans="2:4" ht="20.100000000000001" customHeight="1" x14ac:dyDescent="0.2">
      <c r="B20" s="198"/>
      <c r="C20" s="198"/>
      <c r="D20" s="199"/>
    </row>
    <row r="21" spans="2:4" ht="31.9" customHeight="1" x14ac:dyDescent="0.2">
      <c r="B21" s="197" t="s">
        <v>74</v>
      </c>
      <c r="C21" s="24"/>
    </row>
    <row r="22" spans="2:4" hidden="1" x14ac:dyDescent="0.2"/>
    <row r="23" spans="2:4" hidden="1" x14ac:dyDescent="0.2"/>
    <row r="24" spans="2:4" hidden="1" x14ac:dyDescent="0.2"/>
    <row r="25" spans="2:4" hidden="1" x14ac:dyDescent="0.2"/>
    <row r="26" spans="2:4" hidden="1" x14ac:dyDescent="0.2"/>
    <row r="27" spans="2:4" ht="25.5" hidden="1" x14ac:dyDescent="0.2">
      <c r="B27" s="26" t="s">
        <v>12</v>
      </c>
      <c r="C27" s="27">
        <v>1.03</v>
      </c>
    </row>
    <row r="28" spans="2:4" hidden="1" x14ac:dyDescent="0.2">
      <c r="B28" s="24"/>
    </row>
    <row r="29" spans="2:4" hidden="1" x14ac:dyDescent="0.2">
      <c r="B29" s="24"/>
      <c r="C29" s="27"/>
    </row>
    <row r="30" spans="2:4" x14ac:dyDescent="0.2">
      <c r="B30" s="24"/>
      <c r="C30" s="27"/>
    </row>
    <row r="31" spans="2:4" x14ac:dyDescent="0.2">
      <c r="B31" s="24"/>
      <c r="C31" s="27"/>
    </row>
  </sheetData>
  <mergeCells count="4">
    <mergeCell ref="A2:K2"/>
    <mergeCell ref="A3:K3"/>
    <mergeCell ref="A4:K4"/>
    <mergeCell ref="A5:K5"/>
  </mergeCells>
  <pageMargins left="0.75000000000000011" right="0.75000000000000011" top="1" bottom="1" header="0.5" footer="0.5"/>
  <pageSetup scale="66" fitToWidth="0" fitToHeight="0"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heetViews>
  <sheetFormatPr defaultRowHeight="12" x14ac:dyDescent="0.15"/>
  <cols>
    <col min="1" max="1" width="4.25" customWidth="1"/>
    <col min="2" max="2" width="36.875" customWidth="1"/>
    <col min="3" max="3" width="18.375" hidden="1" customWidth="1"/>
    <col min="4" max="4" width="20.5" customWidth="1"/>
    <col min="5" max="5" width="11.625" customWidth="1"/>
    <col min="6" max="6" width="11.25" customWidth="1"/>
    <col min="7" max="7" width="10.5" customWidth="1"/>
    <col min="8" max="8" width="8.875" customWidth="1"/>
    <col min="9" max="9" width="11.5" customWidth="1"/>
    <col min="10" max="10" width="8.875" customWidth="1"/>
    <col min="11" max="11" width="0" hidden="1" customWidth="1"/>
    <col min="12" max="12" width="8.875" customWidth="1"/>
  </cols>
  <sheetData>
    <row r="1" spans="1:10" ht="12.75" x14ac:dyDescent="0.2">
      <c r="A1" s="1"/>
      <c r="B1" s="1"/>
      <c r="C1" s="1"/>
      <c r="D1" s="1"/>
      <c r="E1" s="1"/>
      <c r="F1" s="1"/>
      <c r="G1" s="1"/>
      <c r="H1" s="1"/>
      <c r="I1" s="1"/>
      <c r="J1" s="1"/>
    </row>
    <row r="2" spans="1:10" ht="19.899999999999999" customHeight="1" x14ac:dyDescent="0.25">
      <c r="A2" s="222" t="s">
        <v>69</v>
      </c>
      <c r="B2" s="222"/>
      <c r="C2" s="222"/>
      <c r="D2" s="222"/>
      <c r="E2" s="222"/>
      <c r="F2" s="222"/>
      <c r="G2" s="222"/>
      <c r="H2" s="222"/>
      <c r="I2" s="222"/>
      <c r="J2" s="222"/>
    </row>
    <row r="3" spans="1:10" ht="19.899999999999999" customHeight="1" x14ac:dyDescent="0.25">
      <c r="A3" s="222" t="s">
        <v>75</v>
      </c>
      <c r="B3" s="222"/>
      <c r="C3" s="222"/>
      <c r="D3" s="222"/>
      <c r="E3" s="222"/>
      <c r="F3" s="222"/>
      <c r="G3" s="222"/>
      <c r="H3" s="222"/>
      <c r="I3" s="222"/>
      <c r="J3" s="222"/>
    </row>
    <row r="4" spans="1:10" ht="19.899999999999999" customHeight="1" x14ac:dyDescent="0.25">
      <c r="A4" s="227" t="s">
        <v>1</v>
      </c>
      <c r="B4" s="227"/>
      <c r="C4" s="227"/>
      <c r="D4" s="227"/>
      <c r="E4" s="227"/>
      <c r="F4" s="227"/>
      <c r="G4" s="227"/>
      <c r="H4" s="227"/>
      <c r="I4" s="227"/>
      <c r="J4" s="227"/>
    </row>
    <row r="5" spans="1:10" ht="19.899999999999999" customHeight="1" x14ac:dyDescent="0.25">
      <c r="A5" s="222" t="s">
        <v>34</v>
      </c>
      <c r="B5" s="222"/>
      <c r="C5" s="222"/>
      <c r="D5" s="222"/>
      <c r="E5" s="222"/>
      <c r="F5" s="222"/>
      <c r="G5" s="222"/>
      <c r="H5" s="222"/>
      <c r="I5" s="222"/>
      <c r="J5" s="222"/>
    </row>
    <row r="6" spans="1:10" ht="19.899999999999999" customHeight="1" x14ac:dyDescent="0.25">
      <c r="A6" s="207"/>
      <c r="B6" s="207"/>
      <c r="C6" s="207"/>
      <c r="D6" s="207"/>
      <c r="E6" s="207"/>
      <c r="F6" s="207"/>
      <c r="G6" s="207"/>
      <c r="H6" s="207"/>
      <c r="I6" s="207"/>
      <c r="J6" s="207"/>
    </row>
    <row r="7" spans="1:10" ht="15" x14ac:dyDescent="0.25">
      <c r="A7" s="4"/>
      <c r="B7" s="5"/>
      <c r="C7" s="5"/>
      <c r="D7" s="6"/>
      <c r="E7" s="6"/>
      <c r="F7" s="6"/>
      <c r="G7" s="6"/>
      <c r="H7" s="4"/>
      <c r="I7" s="4"/>
      <c r="J7" s="4"/>
    </row>
    <row r="8" spans="1:10" ht="15" x14ac:dyDescent="0.25">
      <c r="A8" s="4"/>
      <c r="B8" s="5"/>
      <c r="C8" s="5"/>
      <c r="D8" s="4"/>
      <c r="E8" s="4"/>
      <c r="F8" s="4"/>
      <c r="G8" s="4"/>
      <c r="H8" s="4"/>
      <c r="I8" s="4"/>
      <c r="J8" s="4"/>
    </row>
    <row r="9" spans="1:10" ht="15" x14ac:dyDescent="0.25">
      <c r="A9" s="4"/>
      <c r="B9" s="5"/>
      <c r="C9" s="5"/>
      <c r="D9" s="4"/>
      <c r="E9" s="4"/>
      <c r="F9" s="4"/>
      <c r="G9" s="4"/>
      <c r="H9" s="4"/>
      <c r="I9" s="4"/>
      <c r="J9" s="4"/>
    </row>
    <row r="10" spans="1:10" ht="15" x14ac:dyDescent="0.25">
      <c r="A10" s="4"/>
      <c r="B10" s="5"/>
      <c r="C10" s="5"/>
      <c r="D10" s="4"/>
      <c r="E10" s="4"/>
      <c r="F10" s="4"/>
      <c r="G10" s="4"/>
      <c r="H10" s="4"/>
      <c r="I10" s="4"/>
      <c r="J10" s="4"/>
    </row>
    <row r="11" spans="1:10" s="1" customFormat="1" ht="12.75" x14ac:dyDescent="0.2">
      <c r="B11" s="7"/>
      <c r="C11" s="7"/>
      <c r="D11" s="8"/>
    </row>
    <row r="12" spans="1:10" s="1" customFormat="1" ht="12.75" x14ac:dyDescent="0.2">
      <c r="D12" s="161" t="s">
        <v>76</v>
      </c>
    </row>
    <row r="13" spans="1:10" s="1" customFormat="1" ht="12.75" x14ac:dyDescent="0.2">
      <c r="B13" s="10"/>
      <c r="C13" s="10"/>
      <c r="D13" s="161" t="s">
        <v>72</v>
      </c>
      <c r="E13" s="161"/>
      <c r="F13" s="161"/>
      <c r="G13" s="161"/>
      <c r="H13" s="161"/>
      <c r="I13" s="162"/>
      <c r="J13" s="162"/>
    </row>
    <row r="14" spans="1:10" s="1" customFormat="1" ht="25.5" x14ac:dyDescent="0.2">
      <c r="B14" s="12" t="s">
        <v>5</v>
      </c>
      <c r="C14" s="30" t="s">
        <v>6</v>
      </c>
      <c r="D14" s="12" t="s">
        <v>7</v>
      </c>
      <c r="E14" s="161"/>
      <c r="F14" s="161"/>
      <c r="G14" s="161"/>
      <c r="H14" s="161"/>
      <c r="I14" s="162"/>
      <c r="J14" s="162"/>
    </row>
    <row r="15" spans="1:10" s="1" customFormat="1" ht="12.75" x14ac:dyDescent="0.2">
      <c r="A15" s="14">
        <v>1</v>
      </c>
      <c r="B15" s="29" t="s">
        <v>77</v>
      </c>
      <c r="C15" s="151">
        <f>10100*C28</f>
        <v>10403</v>
      </c>
      <c r="D15" s="151">
        <f>ROUND(C15,0)</f>
        <v>10403</v>
      </c>
    </row>
    <row r="16" spans="1:10" s="1" customFormat="1" ht="12.75" x14ac:dyDescent="0.2">
      <c r="A16" s="14">
        <v>2</v>
      </c>
      <c r="B16" s="29" t="s">
        <v>21</v>
      </c>
      <c r="C16" s="151">
        <f>48700*C28</f>
        <v>50161</v>
      </c>
      <c r="D16" s="151">
        <f>ROUND(C16,0)</f>
        <v>50161</v>
      </c>
    </row>
    <row r="17" spans="1:4" s="1" customFormat="1" ht="49.9" customHeight="1" x14ac:dyDescent="0.2">
      <c r="A17" s="14">
        <v>3</v>
      </c>
      <c r="B17" s="35" t="s">
        <v>22</v>
      </c>
      <c r="C17" s="151">
        <f>40500*C28</f>
        <v>41715</v>
      </c>
      <c r="D17" s="151">
        <f>ROUND(C17,0)</f>
        <v>41715</v>
      </c>
    </row>
    <row r="18" spans="1:4" s="1" customFormat="1" ht="40.15" customHeight="1" x14ac:dyDescent="0.2">
      <c r="A18" s="14">
        <v>4</v>
      </c>
      <c r="B18" s="35" t="s">
        <v>30</v>
      </c>
      <c r="C18" s="151">
        <f>9200*C28</f>
        <v>9476</v>
      </c>
      <c r="D18" s="151">
        <f>ROUND(C18,0)</f>
        <v>9476</v>
      </c>
    </row>
    <row r="19" spans="1:4" s="1" customFormat="1" ht="12.75" x14ac:dyDescent="0.2">
      <c r="B19" s="20" t="s">
        <v>73</v>
      </c>
      <c r="C19" s="20"/>
      <c r="D19" s="21">
        <f>SUM(D15:D18)</f>
        <v>111755</v>
      </c>
    </row>
    <row r="20" spans="1:4" s="1" customFormat="1" ht="12.75" x14ac:dyDescent="0.2"/>
    <row r="21" spans="1:4" s="1" customFormat="1" ht="12.75" x14ac:dyDescent="0.2">
      <c r="B21" s="15" t="s">
        <v>10</v>
      </c>
      <c r="C21" s="22"/>
      <c r="D21" s="23" t="s">
        <v>40</v>
      </c>
    </row>
    <row r="22" spans="1:4" s="1" customFormat="1" ht="12.75" x14ac:dyDescent="0.2"/>
    <row r="23" spans="1:4" s="1" customFormat="1" ht="12.75" x14ac:dyDescent="0.2">
      <c r="B23" s="15" t="s">
        <v>11</v>
      </c>
      <c r="C23" s="22"/>
      <c r="D23" s="23" t="s">
        <v>40</v>
      </c>
    </row>
    <row r="24" spans="1:4" s="1" customFormat="1" ht="19.149999999999999" customHeight="1" x14ac:dyDescent="0.2">
      <c r="B24" s="25"/>
      <c r="C24" s="25"/>
    </row>
    <row r="25" spans="1:4" s="1" customFormat="1" ht="28.9" customHeight="1" x14ac:dyDescent="0.2">
      <c r="B25" s="197" t="s">
        <v>74</v>
      </c>
      <c r="C25" s="24"/>
    </row>
    <row r="26" spans="1:4" ht="12.75" hidden="1" x14ac:dyDescent="0.2">
      <c r="A26" s="1"/>
      <c r="B26" s="1"/>
      <c r="C26" s="1"/>
      <c r="D26" s="1"/>
    </row>
    <row r="27" spans="1:4" ht="12.75" hidden="1" x14ac:dyDescent="0.2">
      <c r="A27" s="1"/>
      <c r="B27" s="1"/>
      <c r="C27" s="1"/>
      <c r="D27" s="1"/>
    </row>
    <row r="28" spans="1:4" ht="25.5" hidden="1" x14ac:dyDescent="0.2">
      <c r="A28" s="1"/>
      <c r="B28" s="26" t="s">
        <v>12</v>
      </c>
      <c r="C28" s="27">
        <v>1.03</v>
      </c>
      <c r="D28" s="1"/>
    </row>
    <row r="29" spans="1:4" ht="12.75" hidden="1" x14ac:dyDescent="0.2">
      <c r="A29" s="1"/>
      <c r="B29" s="24"/>
      <c r="C29" s="1"/>
      <c r="D29" s="1"/>
    </row>
    <row r="30" spans="1:4" ht="12.75" hidden="1" x14ac:dyDescent="0.2">
      <c r="A30" s="1"/>
      <c r="B30" s="24"/>
      <c r="C30" s="27"/>
      <c r="D30" s="1"/>
    </row>
    <row r="31" spans="1:4" ht="12.75" x14ac:dyDescent="0.2">
      <c r="A31" s="1"/>
      <c r="B31" s="24"/>
      <c r="C31" s="27"/>
      <c r="D31" s="1"/>
    </row>
    <row r="32" spans="1:4" ht="12.75" x14ac:dyDescent="0.2">
      <c r="B32" s="24"/>
      <c r="C32" s="27"/>
    </row>
  </sheetData>
  <mergeCells count="4">
    <mergeCell ref="A2:J2"/>
    <mergeCell ref="A3:J3"/>
    <mergeCell ref="A4:J4"/>
    <mergeCell ref="A5:J5"/>
  </mergeCells>
  <pageMargins left="0.25" right="0.25" top="0.75" bottom="0.75" header="0.3" footer="0.3"/>
  <pageSetup scale="78" fitToWidth="0" fitToHeight="0" orientation="landscape" r:id="rId1"/>
  <headerFooter>
    <oddFooter>&amp;C&amp;8 2014 MAYO PANCREAS after KDY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opLeftCell="E11" zoomScaleNormal="100" workbookViewId="0">
      <selection activeCell="K23" sqref="K23"/>
    </sheetView>
  </sheetViews>
  <sheetFormatPr defaultColWidth="9" defaultRowHeight="12.75" x14ac:dyDescent="0.2"/>
  <cols>
    <col min="1" max="1" width="2.875" style="1" customWidth="1"/>
    <col min="2" max="2" width="38" style="1" customWidth="1"/>
    <col min="3" max="3" width="20.875" style="1" hidden="1" customWidth="1"/>
    <col min="4" max="4" width="24.125" style="1" customWidth="1"/>
    <col min="5" max="6" width="18.625" style="1" customWidth="1"/>
    <col min="7" max="8" width="12.625" style="1" customWidth="1"/>
    <col min="9" max="9" width="17.625" style="1" customWidth="1"/>
    <col min="10" max="10" width="7.625" style="1" customWidth="1"/>
    <col min="11" max="11" width="29.125" style="1" customWidth="1"/>
    <col min="12" max="12" width="9" style="1" customWidth="1"/>
    <col min="13" max="16384" width="9" style="1"/>
  </cols>
  <sheetData>
    <row r="2" spans="1:11" s="3" customFormat="1" ht="19.899999999999999" customHeight="1" x14ac:dyDescent="0.25">
      <c r="A2" s="222" t="s">
        <v>32</v>
      </c>
      <c r="B2" s="222"/>
      <c r="C2" s="222"/>
      <c r="D2" s="222"/>
      <c r="E2" s="222"/>
      <c r="F2" s="222"/>
      <c r="G2" s="222"/>
      <c r="H2" s="222"/>
      <c r="I2" s="222"/>
      <c r="J2" s="222"/>
      <c r="K2" s="222"/>
    </row>
    <row r="3" spans="1:11" s="3" customFormat="1" ht="19.899999999999999" customHeight="1" x14ac:dyDescent="0.25">
      <c r="A3" s="222" t="s">
        <v>78</v>
      </c>
      <c r="B3" s="222"/>
      <c r="C3" s="222"/>
      <c r="D3" s="222"/>
      <c r="E3" s="222"/>
      <c r="F3" s="222"/>
      <c r="G3" s="222"/>
      <c r="H3" s="222"/>
      <c r="I3" s="222"/>
      <c r="J3" s="222"/>
      <c r="K3" s="222"/>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34</v>
      </c>
      <c r="B5" s="222"/>
      <c r="C5" s="222"/>
      <c r="D5" s="222"/>
      <c r="E5" s="222"/>
      <c r="F5" s="222"/>
      <c r="G5" s="222"/>
      <c r="H5" s="222"/>
      <c r="I5" s="222"/>
      <c r="J5" s="222"/>
      <c r="K5" s="222"/>
    </row>
    <row r="6" spans="1:11" s="3" customFormat="1" ht="12.75" customHeight="1" x14ac:dyDescent="0.2">
      <c r="A6" s="9"/>
      <c r="B6" s="9"/>
      <c r="C6" s="9"/>
      <c r="D6" s="9"/>
      <c r="E6" s="9"/>
      <c r="F6" s="9"/>
      <c r="G6" s="9"/>
      <c r="H6" s="9"/>
      <c r="I6" s="9"/>
      <c r="J6" s="9"/>
      <c r="K6" s="9"/>
    </row>
    <row r="7" spans="1:11" s="4" customFormat="1" ht="30" customHeight="1" x14ac:dyDescent="0.2">
      <c r="A7" s="1"/>
      <c r="B7" s="7"/>
      <c r="C7" s="7"/>
      <c r="D7" s="1"/>
      <c r="E7" s="1"/>
      <c r="F7" s="1"/>
      <c r="G7" s="1"/>
      <c r="H7" s="1"/>
      <c r="I7" s="1"/>
      <c r="J7" s="1"/>
      <c r="K7" s="1"/>
    </row>
    <row r="8" spans="1:11" s="4" customFormat="1" ht="18.75" customHeight="1" x14ac:dyDescent="0.2">
      <c r="A8" s="1"/>
      <c r="B8" s="7"/>
      <c r="C8" s="7"/>
      <c r="D8" s="1"/>
      <c r="E8" s="1"/>
      <c r="F8" s="1"/>
      <c r="G8" s="1"/>
      <c r="H8" s="1"/>
      <c r="I8" s="1"/>
      <c r="J8" s="1"/>
      <c r="K8" s="1"/>
    </row>
    <row r="9" spans="1:11" ht="18.75" customHeight="1" x14ac:dyDescent="0.2">
      <c r="B9" s="7"/>
      <c r="C9" s="7"/>
      <c r="D9" s="8"/>
    </row>
    <row r="10" spans="1:11" ht="18.75" customHeight="1" x14ac:dyDescent="0.2">
      <c r="D10" s="9" t="s">
        <v>79</v>
      </c>
    </row>
    <row r="11" spans="1:11" ht="13.9" customHeight="1" x14ac:dyDescent="0.2">
      <c r="B11" s="10"/>
      <c r="C11" s="10"/>
      <c r="D11" s="9" t="s">
        <v>36</v>
      </c>
      <c r="E11" s="9"/>
      <c r="F11" s="9"/>
      <c r="G11" s="9"/>
      <c r="H11" s="9"/>
      <c r="I11" s="11"/>
      <c r="J11" s="11"/>
      <c r="K11" s="11"/>
    </row>
    <row r="12" spans="1:11" ht="24.95" customHeight="1" x14ac:dyDescent="0.2">
      <c r="B12" s="12" t="s">
        <v>5</v>
      </c>
      <c r="C12" s="30" t="s">
        <v>6</v>
      </c>
      <c r="D12" s="12" t="s">
        <v>7</v>
      </c>
      <c r="E12" s="9"/>
      <c r="F12" s="9"/>
      <c r="G12" s="9"/>
      <c r="H12" s="9"/>
      <c r="I12" s="11"/>
      <c r="J12" s="11"/>
      <c r="K12" s="11"/>
    </row>
    <row r="13" spans="1:11" ht="38.450000000000003" customHeight="1" x14ac:dyDescent="0.2">
      <c r="A13" s="14">
        <v>1</v>
      </c>
      <c r="B13" s="19" t="s">
        <v>80</v>
      </c>
      <c r="C13" s="17">
        <f>8100*C29</f>
        <v>8343</v>
      </c>
      <c r="D13" s="17">
        <f>ROUND(C13,0)</f>
        <v>8343</v>
      </c>
    </row>
    <row r="14" spans="1:11" ht="49.7" customHeight="1" x14ac:dyDescent="0.2">
      <c r="A14" s="14">
        <v>2</v>
      </c>
      <c r="B14" s="19" t="s">
        <v>81</v>
      </c>
      <c r="C14" s="17">
        <f>61200*C29</f>
        <v>63036</v>
      </c>
      <c r="D14" s="17">
        <f>ROUND(C14,0)</f>
        <v>63036</v>
      </c>
    </row>
    <row r="15" spans="1:11" ht="65.45" customHeight="1" x14ac:dyDescent="0.2">
      <c r="A15" s="14">
        <v>3</v>
      </c>
      <c r="B15" s="35" t="s">
        <v>82</v>
      </c>
      <c r="C15" s="71">
        <f>15200*C29</f>
        <v>15656</v>
      </c>
      <c r="D15" s="17">
        <f>ROUND(C15,0)</f>
        <v>15656</v>
      </c>
    </row>
    <row r="16" spans="1:11" ht="29.45" customHeight="1" x14ac:dyDescent="0.2">
      <c r="A16" s="14">
        <v>4</v>
      </c>
      <c r="B16" s="15" t="s">
        <v>83</v>
      </c>
      <c r="C16" s="72">
        <f>2700*C29</f>
        <v>2781</v>
      </c>
      <c r="D16" s="17">
        <f>ROUND(C16,0)</f>
        <v>2781</v>
      </c>
    </row>
    <row r="17" spans="1:11" ht="35.1" customHeight="1" x14ac:dyDescent="0.2">
      <c r="B17" s="20" t="s">
        <v>84</v>
      </c>
      <c r="C17" s="20"/>
      <c r="D17" s="21">
        <f>SUM(D13:D16)</f>
        <v>89816</v>
      </c>
      <c r="K17" s="36"/>
    </row>
    <row r="18" spans="1:11" ht="26.45" customHeight="1" x14ac:dyDescent="0.2"/>
    <row r="19" spans="1:11" ht="20.100000000000001" customHeight="1" x14ac:dyDescent="0.2">
      <c r="B19" s="15" t="s">
        <v>10</v>
      </c>
      <c r="C19" s="22"/>
      <c r="D19" s="23" t="s">
        <v>40</v>
      </c>
    </row>
    <row r="20" spans="1:11" ht="20.100000000000001" customHeight="1" x14ac:dyDescent="0.2">
      <c r="B20" s="24"/>
      <c r="C20" s="24"/>
    </row>
    <row r="21" spans="1:11" ht="20.100000000000001" customHeight="1" x14ac:dyDescent="0.2">
      <c r="B21" s="15" t="s">
        <v>11</v>
      </c>
      <c r="C21" s="22"/>
      <c r="D21" s="23" t="s">
        <v>40</v>
      </c>
    </row>
    <row r="22" spans="1:11" ht="20.100000000000001" customHeight="1" x14ac:dyDescent="0.2">
      <c r="B22" s="25"/>
      <c r="C22" s="25"/>
    </row>
    <row r="23" spans="1:11" ht="27" customHeight="1" x14ac:dyDescent="0.2">
      <c r="B23" s="19" t="s">
        <v>67</v>
      </c>
      <c r="C23" s="24"/>
    </row>
    <row r="24" spans="1:11" hidden="1" x14ac:dyDescent="0.2"/>
    <row r="25" spans="1:11" ht="13.9" hidden="1" customHeight="1" x14ac:dyDescent="0.2">
      <c r="B25" s="73"/>
      <c r="C25" s="73"/>
    </row>
    <row r="26" spans="1:11" hidden="1" x14ac:dyDescent="0.2">
      <c r="B26" s="74"/>
      <c r="C26" s="74"/>
    </row>
    <row r="27" spans="1:11" customFormat="1" hidden="1" x14ac:dyDescent="0.2">
      <c r="A27" s="1"/>
      <c r="B27" s="46"/>
      <c r="C27" s="46"/>
      <c r="D27" s="1"/>
      <c r="E27" s="1"/>
      <c r="F27" s="1"/>
      <c r="G27" s="1"/>
      <c r="H27" s="1"/>
      <c r="I27" s="1"/>
      <c r="J27" s="1"/>
      <c r="K27" s="1"/>
    </row>
    <row r="28" spans="1:11" customFormat="1" hidden="1" x14ac:dyDescent="0.2">
      <c r="A28" s="1"/>
      <c r="B28" s="46"/>
      <c r="C28" s="46"/>
      <c r="D28" s="1"/>
      <c r="E28" s="1"/>
      <c r="F28" s="1"/>
      <c r="G28" s="1"/>
      <c r="H28" s="1"/>
      <c r="I28" s="1"/>
      <c r="J28" s="1"/>
      <c r="K28" s="1"/>
    </row>
    <row r="29" spans="1:11" ht="25.5" hidden="1" x14ac:dyDescent="0.2">
      <c r="B29" s="26" t="s">
        <v>12</v>
      </c>
      <c r="C29" s="27">
        <v>1.03</v>
      </c>
      <c r="E29" s="18"/>
    </row>
    <row r="30" spans="1:11" hidden="1" x14ac:dyDescent="0.2">
      <c r="B30" s="24"/>
    </row>
    <row r="31" spans="1:11" hidden="1" x14ac:dyDescent="0.2">
      <c r="B31" s="24"/>
      <c r="C31" s="27"/>
    </row>
    <row r="32" spans="1:11" hidden="1" x14ac:dyDescent="0.2">
      <c r="B32" s="24"/>
      <c r="C32" s="27"/>
    </row>
    <row r="33" spans="2:3" x14ac:dyDescent="0.2">
      <c r="B33" s="24"/>
      <c r="C33" s="27"/>
    </row>
  </sheetData>
  <mergeCells count="4">
    <mergeCell ref="A2:K2"/>
    <mergeCell ref="A3:K3"/>
    <mergeCell ref="A4:K4"/>
    <mergeCell ref="A5:K5"/>
  </mergeCells>
  <pageMargins left="0.25" right="0.25" top="0.75" bottom="0.75" header="0.30000000000000004" footer="0.30000000000000004"/>
  <pageSetup scale="69" fitToWidth="0" fitToHeight="0"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zoomScaleNormal="100" workbookViewId="0">
      <selection activeCell="A12" sqref="A12"/>
    </sheetView>
  </sheetViews>
  <sheetFormatPr defaultColWidth="9" defaultRowHeight="12.75" x14ac:dyDescent="0.2"/>
  <cols>
    <col min="1" max="1" width="2.875" style="1" customWidth="1"/>
    <col min="2" max="2" width="35.625" style="1" customWidth="1"/>
    <col min="3" max="3" width="24.5" style="1" hidden="1" customWidth="1"/>
    <col min="4" max="4" width="29" style="1" customWidth="1"/>
    <col min="5" max="5" width="18.625" style="1" customWidth="1"/>
    <col min="6" max="6" width="17"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32</v>
      </c>
      <c r="B2" s="222"/>
      <c r="C2" s="222"/>
      <c r="D2" s="222"/>
      <c r="E2" s="222"/>
      <c r="F2" s="222"/>
      <c r="G2" s="222"/>
      <c r="H2" s="222"/>
      <c r="I2" s="222"/>
      <c r="J2" s="222"/>
    </row>
    <row r="3" spans="1:10" s="3" customFormat="1" ht="19.899999999999999" customHeight="1" x14ac:dyDescent="0.25">
      <c r="A3" s="222" t="s">
        <v>238</v>
      </c>
      <c r="B3" s="222"/>
      <c r="C3" s="222"/>
      <c r="D3" s="222"/>
      <c r="E3" s="222"/>
      <c r="F3" s="222"/>
      <c r="G3" s="222"/>
      <c r="H3" s="222"/>
      <c r="I3" s="222"/>
      <c r="J3" s="222"/>
    </row>
    <row r="4" spans="1:10" s="3" customFormat="1" ht="19.899999999999999" customHeight="1" x14ac:dyDescent="0.25">
      <c r="A4" s="227" t="s">
        <v>1</v>
      </c>
      <c r="B4" s="227"/>
      <c r="C4" s="227"/>
      <c r="D4" s="227"/>
      <c r="E4" s="227"/>
      <c r="F4" s="227"/>
      <c r="G4" s="227"/>
      <c r="H4" s="227"/>
      <c r="I4" s="227"/>
      <c r="J4" s="227"/>
    </row>
    <row r="5" spans="1:10" s="3" customFormat="1" ht="19.899999999999999" customHeight="1" x14ac:dyDescent="0.25">
      <c r="A5" s="222" t="s">
        <v>34</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18.75" customHeight="1" x14ac:dyDescent="0.25">
      <c r="B8" s="5"/>
      <c r="C8" s="5"/>
    </row>
    <row r="9" spans="1:10" ht="18.75" customHeight="1" x14ac:dyDescent="0.2">
      <c r="B9" s="7"/>
      <c r="C9" s="7"/>
      <c r="D9" s="8"/>
    </row>
    <row r="10" spans="1:10" ht="18.75" customHeight="1" x14ac:dyDescent="0.2">
      <c r="D10" s="9" t="s">
        <v>85</v>
      </c>
    </row>
    <row r="11" spans="1:10" ht="15" customHeight="1" x14ac:dyDescent="0.2">
      <c r="B11" s="10"/>
      <c r="C11" s="10"/>
      <c r="D11" s="9" t="s">
        <v>36</v>
      </c>
      <c r="E11" s="9"/>
      <c r="F11" s="9"/>
      <c r="G11" s="9"/>
      <c r="H11" s="9"/>
      <c r="I11" s="11"/>
      <c r="J11" s="11"/>
    </row>
    <row r="12" spans="1:10" ht="24.95" customHeight="1" x14ac:dyDescent="0.2">
      <c r="B12" s="12" t="s">
        <v>5</v>
      </c>
      <c r="C12" s="30" t="s">
        <v>6</v>
      </c>
      <c r="D12" s="12" t="s">
        <v>7</v>
      </c>
      <c r="E12" s="9"/>
      <c r="F12" s="9"/>
      <c r="G12" s="9"/>
      <c r="H12" s="9"/>
      <c r="I12" s="11"/>
      <c r="J12" s="11"/>
    </row>
    <row r="13" spans="1:10" ht="35.1" customHeight="1" x14ac:dyDescent="0.2">
      <c r="A13" s="14">
        <v>1</v>
      </c>
      <c r="B13" s="19" t="s">
        <v>86</v>
      </c>
      <c r="C13" s="17">
        <f>8100*C29</f>
        <v>8343</v>
      </c>
      <c r="D13" s="17">
        <f>ROUND(C13,0)</f>
        <v>8343</v>
      </c>
    </row>
    <row r="14" spans="1:10" ht="69" customHeight="1" x14ac:dyDescent="0.2">
      <c r="A14" s="14">
        <v>2</v>
      </c>
      <c r="B14" s="19" t="s">
        <v>81</v>
      </c>
      <c r="C14" s="17">
        <f>79700*C29</f>
        <v>82091</v>
      </c>
      <c r="D14" s="17">
        <f>ROUND(C14,0)</f>
        <v>82091</v>
      </c>
    </row>
    <row r="15" spans="1:10" ht="35.1" customHeight="1" x14ac:dyDescent="0.2">
      <c r="B15" s="20" t="s">
        <v>87</v>
      </c>
      <c r="C15" s="20"/>
      <c r="D15" s="21">
        <f>SUM(D13:D14)</f>
        <v>90434</v>
      </c>
    </row>
    <row r="16" spans="1:10" ht="39.950000000000003" customHeight="1" x14ac:dyDescent="0.2"/>
    <row r="17" spans="2:4" ht="20.100000000000001" customHeight="1" x14ac:dyDescent="0.2">
      <c r="B17" s="15" t="s">
        <v>10</v>
      </c>
      <c r="C17" s="22"/>
      <c r="D17" s="23" t="s">
        <v>40</v>
      </c>
    </row>
    <row r="18" spans="2:4" ht="20.100000000000001" customHeight="1" x14ac:dyDescent="0.2">
      <c r="B18" s="24"/>
      <c r="C18" s="24"/>
    </row>
    <row r="19" spans="2:4" ht="20.100000000000001" customHeight="1" x14ac:dyDescent="0.2">
      <c r="B19" s="15" t="s">
        <v>11</v>
      </c>
      <c r="C19" s="22"/>
      <c r="D19" s="23" t="s">
        <v>40</v>
      </c>
    </row>
    <row r="20" spans="2:4" ht="20.100000000000001" customHeight="1" x14ac:dyDescent="0.2">
      <c r="B20" s="25"/>
      <c r="C20" s="25"/>
    </row>
    <row r="21" spans="2:4" ht="30" customHeight="1" x14ac:dyDescent="0.2">
      <c r="B21" s="19" t="s">
        <v>67</v>
      </c>
      <c r="C21" s="24"/>
    </row>
    <row r="22" spans="2:4" hidden="1" x14ac:dyDescent="0.2"/>
    <row r="23" spans="2:4" hidden="1" x14ac:dyDescent="0.2"/>
    <row r="24" spans="2:4" hidden="1" x14ac:dyDescent="0.2"/>
    <row r="25" spans="2:4" hidden="1" x14ac:dyDescent="0.2">
      <c r="B25" s="46"/>
      <c r="C25" s="46"/>
    </row>
    <row r="26" spans="2:4" hidden="1" x14ac:dyDescent="0.2"/>
    <row r="27" spans="2:4" hidden="1" x14ac:dyDescent="0.2"/>
    <row r="28" spans="2:4" hidden="1" x14ac:dyDescent="0.2"/>
    <row r="29" spans="2:4" ht="25.5" hidden="1" x14ac:dyDescent="0.2">
      <c r="B29" s="26" t="s">
        <v>12</v>
      </c>
      <c r="C29" s="27">
        <v>1.03</v>
      </c>
    </row>
    <row r="30" spans="2:4" hidden="1" x14ac:dyDescent="0.2">
      <c r="B30" s="24"/>
    </row>
    <row r="31" spans="2:4" x14ac:dyDescent="0.2">
      <c r="B31" s="24"/>
      <c r="C31" s="27"/>
    </row>
    <row r="32" spans="2:4" x14ac:dyDescent="0.2">
      <c r="B32" s="24"/>
      <c r="C32" s="27"/>
    </row>
    <row r="33" spans="2:3" x14ac:dyDescent="0.2">
      <c r="B33" s="24"/>
      <c r="C33" s="27"/>
    </row>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zoomScaleNormal="100" workbookViewId="0">
      <selection activeCell="D8" sqref="D8"/>
    </sheetView>
  </sheetViews>
  <sheetFormatPr defaultColWidth="9" defaultRowHeight="12.75" x14ac:dyDescent="0.2"/>
  <cols>
    <col min="1" max="1" width="2.875" style="53" customWidth="1"/>
    <col min="2" max="2" width="35.625" style="53" customWidth="1"/>
    <col min="3" max="3" width="22.75" style="53" hidden="1" customWidth="1"/>
    <col min="4" max="4" width="24.625" style="53" customWidth="1"/>
    <col min="5" max="6" width="18.625" style="53" customWidth="1"/>
    <col min="7" max="8" width="12.625" style="53" customWidth="1"/>
    <col min="9" max="9" width="17.625" style="53" customWidth="1"/>
    <col min="10" max="10" width="7.625" style="53" customWidth="1"/>
    <col min="11" max="11" width="9" style="53" customWidth="1"/>
    <col min="12" max="16384" width="9" style="53"/>
  </cols>
  <sheetData>
    <row r="2" spans="1:10" s="67" customFormat="1" ht="19.899999999999999" customHeight="1" x14ac:dyDescent="0.25">
      <c r="A2" s="227" t="s">
        <v>88</v>
      </c>
      <c r="B2" s="227"/>
      <c r="C2" s="227"/>
      <c r="D2" s="227"/>
      <c r="E2" s="227"/>
      <c r="F2" s="227"/>
      <c r="G2" s="227"/>
      <c r="H2" s="227"/>
      <c r="I2" s="227"/>
      <c r="J2" s="227"/>
    </row>
    <row r="3" spans="1:10" s="67" customFormat="1" ht="19.899999999999999" customHeight="1" x14ac:dyDescent="0.25">
      <c r="A3" s="227" t="s">
        <v>89</v>
      </c>
      <c r="B3" s="227"/>
      <c r="C3" s="227"/>
      <c r="D3" s="227"/>
      <c r="E3" s="227"/>
      <c r="F3" s="227"/>
      <c r="G3" s="227"/>
      <c r="H3" s="227"/>
      <c r="I3" s="227"/>
      <c r="J3" s="227"/>
    </row>
    <row r="4" spans="1:10" s="67" customFormat="1" ht="19.899999999999999" customHeight="1" x14ac:dyDescent="0.25">
      <c r="A4" s="222" t="s">
        <v>1</v>
      </c>
      <c r="B4" s="222"/>
      <c r="C4" s="222"/>
      <c r="D4" s="222"/>
      <c r="E4" s="222"/>
      <c r="F4" s="222"/>
      <c r="G4" s="222"/>
      <c r="H4" s="222"/>
      <c r="I4" s="222"/>
      <c r="J4" s="222"/>
    </row>
    <row r="5" spans="1:10" s="67" customFormat="1" ht="19.899999999999999" customHeight="1" x14ac:dyDescent="0.25">
      <c r="A5" s="227" t="s">
        <v>90</v>
      </c>
      <c r="B5" s="227"/>
      <c r="C5" s="227"/>
      <c r="D5" s="227"/>
      <c r="E5" s="227"/>
      <c r="F5" s="227"/>
      <c r="G5" s="227"/>
      <c r="H5" s="227"/>
      <c r="I5" s="227"/>
      <c r="J5" s="227"/>
    </row>
    <row r="6" spans="1:10" s="67" customFormat="1" ht="12.75" customHeight="1" x14ac:dyDescent="0.25">
      <c r="A6" s="44"/>
      <c r="B6" s="44"/>
      <c r="C6" s="44"/>
      <c r="D6" s="44"/>
      <c r="E6" s="44"/>
      <c r="F6" s="44"/>
      <c r="G6" s="44"/>
      <c r="H6" s="44"/>
      <c r="I6" s="44"/>
      <c r="J6" s="44"/>
    </row>
    <row r="7" spans="1:10" s="54" customFormat="1" ht="30" customHeight="1" x14ac:dyDescent="0.25">
      <c r="B7" s="55"/>
      <c r="C7" s="55"/>
      <c r="D7" s="56"/>
      <c r="E7" s="56"/>
      <c r="F7" s="56"/>
      <c r="G7" s="56"/>
    </row>
    <row r="8" spans="1:10" s="54" customFormat="1" ht="30" customHeight="1" x14ac:dyDescent="0.25">
      <c r="B8" s="55"/>
      <c r="C8" s="55"/>
    </row>
    <row r="9" spans="1:10" s="54" customFormat="1" ht="30" customHeight="1" x14ac:dyDescent="0.25">
      <c r="B9" s="55"/>
      <c r="C9" s="55"/>
    </row>
    <row r="10" spans="1:10" s="54" customFormat="1" ht="18.75" customHeight="1" x14ac:dyDescent="0.25">
      <c r="B10" s="55"/>
      <c r="C10" s="55"/>
    </row>
    <row r="11" spans="1:10" ht="18.75" customHeight="1" x14ac:dyDescent="0.2">
      <c r="B11" s="57"/>
      <c r="C11" s="57"/>
      <c r="D11" s="8"/>
    </row>
    <row r="12" spans="1:10" ht="18.75" customHeight="1" x14ac:dyDescent="0.2">
      <c r="D12" s="11" t="s">
        <v>79</v>
      </c>
    </row>
    <row r="13" spans="1:10" ht="12.6" customHeight="1" x14ac:dyDescent="0.2">
      <c r="B13" s="59"/>
      <c r="C13" s="59"/>
      <c r="D13" s="11" t="s">
        <v>91</v>
      </c>
      <c r="E13" s="11"/>
      <c r="F13" s="11"/>
      <c r="G13" s="11"/>
      <c r="H13" s="11"/>
      <c r="I13" s="11"/>
      <c r="J13" s="11"/>
    </row>
    <row r="14" spans="1:10" ht="24.95" customHeight="1" x14ac:dyDescent="0.2">
      <c r="B14" s="60" t="s">
        <v>5</v>
      </c>
      <c r="C14" s="30" t="s">
        <v>6</v>
      </c>
      <c r="D14" s="60" t="s">
        <v>7</v>
      </c>
      <c r="E14" s="11"/>
      <c r="F14" s="11"/>
      <c r="G14" s="11"/>
      <c r="H14" s="11"/>
      <c r="I14" s="11"/>
      <c r="J14" s="11"/>
    </row>
    <row r="15" spans="1:10" ht="35.1" customHeight="1" x14ac:dyDescent="0.2">
      <c r="A15" s="61">
        <v>1</v>
      </c>
      <c r="B15" s="66" t="s">
        <v>92</v>
      </c>
      <c r="C15" s="63">
        <f>16956*C31</f>
        <v>17464.68</v>
      </c>
      <c r="D15" s="63">
        <f>ROUND(C15,0)</f>
        <v>17465</v>
      </c>
      <c r="E15" s="75"/>
    </row>
    <row r="16" spans="1:10" ht="57.75" customHeight="1" x14ac:dyDescent="0.2">
      <c r="A16" s="61">
        <v>2</v>
      </c>
      <c r="B16" s="66" t="s">
        <v>81</v>
      </c>
      <c r="C16" s="63">
        <f>87697*C31</f>
        <v>90327.91</v>
      </c>
      <c r="D16" s="63">
        <f>ROUND(C16,0)</f>
        <v>90328</v>
      </c>
      <c r="E16" s="75"/>
    </row>
    <row r="17" spans="1:5" ht="53.25" customHeight="1" x14ac:dyDescent="0.2">
      <c r="A17" s="61">
        <v>3</v>
      </c>
      <c r="B17" s="64" t="s">
        <v>82</v>
      </c>
      <c r="C17" s="76">
        <f>15201*C31</f>
        <v>15657.03</v>
      </c>
      <c r="D17" s="63">
        <f>ROUND(C17,0)</f>
        <v>15657</v>
      </c>
      <c r="E17" s="75"/>
    </row>
    <row r="18" spans="1:5" ht="35.1" customHeight="1" x14ac:dyDescent="0.2">
      <c r="B18" s="20" t="s">
        <v>84</v>
      </c>
      <c r="C18" s="20"/>
      <c r="D18" s="65">
        <f>SUM(D15:D17)</f>
        <v>123450</v>
      </c>
    </row>
    <row r="19" spans="1:5" ht="39.950000000000003" customHeight="1" x14ac:dyDescent="0.2"/>
    <row r="20" spans="1:5" ht="18" customHeight="1" x14ac:dyDescent="0.2">
      <c r="B20" s="62" t="s">
        <v>10</v>
      </c>
      <c r="C20" s="68"/>
      <c r="D20" s="69">
        <v>65</v>
      </c>
    </row>
    <row r="21" spans="1:5" ht="18" customHeight="1" x14ac:dyDescent="0.2">
      <c r="B21" s="25"/>
      <c r="C21" s="25"/>
    </row>
    <row r="22" spans="1:5" ht="18" customHeight="1" x14ac:dyDescent="0.2">
      <c r="B22" s="62" t="s">
        <v>11</v>
      </c>
      <c r="C22" s="68"/>
      <c r="D22" s="69">
        <v>500</v>
      </c>
    </row>
    <row r="23" spans="1:5" hidden="1" x14ac:dyDescent="0.2"/>
    <row r="24" spans="1:5" hidden="1" x14ac:dyDescent="0.2"/>
    <row r="25" spans="1:5" hidden="1" x14ac:dyDescent="0.2">
      <c r="B25" s="70"/>
      <c r="C25" s="70"/>
    </row>
    <row r="26" spans="1:5" hidden="1" x14ac:dyDescent="0.2"/>
    <row r="27" spans="1:5" hidden="1" x14ac:dyDescent="0.2"/>
    <row r="28" spans="1:5" hidden="1" x14ac:dyDescent="0.2"/>
    <row r="29" spans="1:5" hidden="1" x14ac:dyDescent="0.2"/>
    <row r="30" spans="1:5" hidden="1" x14ac:dyDescent="0.2"/>
    <row r="31" spans="1:5" ht="25.5" hidden="1" x14ac:dyDescent="0.2">
      <c r="B31" s="26" t="s">
        <v>12</v>
      </c>
      <c r="C31" s="27">
        <v>1.03</v>
      </c>
    </row>
    <row r="32" spans="1:5" hidden="1" x14ac:dyDescent="0.2">
      <c r="B32" s="24"/>
      <c r="C32" s="27"/>
    </row>
    <row r="33" spans="2:3" hidden="1" x14ac:dyDescent="0.2">
      <c r="B33" s="24"/>
      <c r="C33" s="27"/>
    </row>
    <row r="34" spans="2:3" x14ac:dyDescent="0.2">
      <c r="B34" s="24"/>
      <c r="C34" s="27"/>
    </row>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zoomScaleNormal="100" workbookViewId="0">
      <selection activeCell="A6" sqref="A6"/>
    </sheetView>
  </sheetViews>
  <sheetFormatPr defaultColWidth="9" defaultRowHeight="12.75" x14ac:dyDescent="0.2"/>
  <cols>
    <col min="1" max="1" width="2.875" style="53" customWidth="1"/>
    <col min="2" max="2" width="35.625" style="53" customWidth="1"/>
    <col min="3" max="3" width="23.625" style="53" hidden="1" customWidth="1"/>
    <col min="4" max="4" width="29" style="53" customWidth="1"/>
    <col min="5" max="6" width="18.625" style="53" customWidth="1"/>
    <col min="7" max="8" width="12.625" style="53" customWidth="1"/>
    <col min="9" max="9" width="17.625" style="53" customWidth="1"/>
    <col min="10" max="10" width="7.625" style="53" customWidth="1"/>
    <col min="11" max="11" width="9" style="53" customWidth="1"/>
    <col min="12" max="16384" width="9" style="53"/>
  </cols>
  <sheetData>
    <row r="2" spans="1:10" s="67" customFormat="1" ht="19.899999999999999" customHeight="1" x14ac:dyDescent="0.25">
      <c r="A2" s="227" t="s">
        <v>88</v>
      </c>
      <c r="B2" s="227"/>
      <c r="C2" s="227"/>
      <c r="D2" s="227"/>
      <c r="E2" s="227"/>
      <c r="F2" s="227"/>
      <c r="G2" s="227"/>
      <c r="H2" s="227"/>
      <c r="I2" s="227"/>
      <c r="J2" s="227"/>
    </row>
    <row r="3" spans="1:10" s="67" customFormat="1" ht="19.899999999999999" customHeight="1" x14ac:dyDescent="0.25">
      <c r="A3" s="227" t="s">
        <v>228</v>
      </c>
      <c r="B3" s="227"/>
      <c r="C3" s="227"/>
      <c r="D3" s="227"/>
      <c r="E3" s="227"/>
      <c r="F3" s="227"/>
      <c r="G3" s="227"/>
      <c r="H3" s="227"/>
      <c r="I3" s="227"/>
      <c r="J3" s="227"/>
    </row>
    <row r="4" spans="1:10" s="67" customFormat="1" ht="19.899999999999999" customHeight="1" x14ac:dyDescent="0.25">
      <c r="A4" s="222" t="s">
        <v>1</v>
      </c>
      <c r="B4" s="222"/>
      <c r="C4" s="222"/>
      <c r="D4" s="222"/>
      <c r="E4" s="222"/>
      <c r="F4" s="222"/>
      <c r="G4" s="222"/>
      <c r="H4" s="222"/>
      <c r="I4" s="222"/>
      <c r="J4" s="222"/>
    </row>
    <row r="5" spans="1:10" s="67" customFormat="1" ht="19.899999999999999" customHeight="1" x14ac:dyDescent="0.25">
      <c r="A5" s="227" t="s">
        <v>90</v>
      </c>
      <c r="B5" s="227"/>
      <c r="C5" s="227"/>
      <c r="D5" s="227"/>
      <c r="E5" s="227"/>
      <c r="F5" s="227"/>
      <c r="G5" s="227"/>
      <c r="H5" s="227"/>
      <c r="I5" s="227"/>
      <c r="J5" s="227"/>
    </row>
    <row r="6" spans="1:10" s="67" customFormat="1" ht="12.75" customHeight="1" x14ac:dyDescent="0.25">
      <c r="A6" s="44"/>
      <c r="B6" s="44"/>
      <c r="C6" s="44"/>
      <c r="D6" s="44"/>
      <c r="E6" s="44"/>
      <c r="F6" s="44"/>
      <c r="G6" s="44"/>
      <c r="H6" s="44"/>
      <c r="I6" s="44"/>
      <c r="J6" s="44"/>
    </row>
    <row r="7" spans="1:10" s="54" customFormat="1" ht="30" customHeight="1" x14ac:dyDescent="0.25">
      <c r="B7" s="55"/>
      <c r="C7" s="55"/>
      <c r="D7" s="56"/>
      <c r="E7" s="56"/>
      <c r="F7" s="56"/>
      <c r="G7" s="56"/>
    </row>
    <row r="8" spans="1:10" s="54" customFormat="1" ht="30" customHeight="1" x14ac:dyDescent="0.25">
      <c r="B8" s="55"/>
      <c r="C8" s="55"/>
    </row>
    <row r="9" spans="1:10" s="54" customFormat="1" ht="18.75" customHeight="1" x14ac:dyDescent="0.25">
      <c r="B9" s="55"/>
      <c r="C9" s="55"/>
    </row>
    <row r="10" spans="1:10" ht="18.75" customHeight="1" x14ac:dyDescent="0.2">
      <c r="B10" s="57"/>
      <c r="C10" s="57"/>
      <c r="D10" s="8"/>
    </row>
    <row r="11" spans="1:10" ht="18.75" customHeight="1" x14ac:dyDescent="0.2">
      <c r="D11" s="11" t="s">
        <v>85</v>
      </c>
    </row>
    <row r="12" spans="1:10" ht="15.6" customHeight="1" x14ac:dyDescent="0.2">
      <c r="B12" s="59"/>
      <c r="C12" s="59"/>
      <c r="D12" s="11" t="s">
        <v>91</v>
      </c>
      <c r="E12" s="11"/>
      <c r="F12" s="11"/>
      <c r="G12" s="11"/>
      <c r="H12" s="11"/>
      <c r="I12" s="11"/>
      <c r="J12" s="11"/>
    </row>
    <row r="13" spans="1:10" ht="24.95" customHeight="1" x14ac:dyDescent="0.2">
      <c r="B13" s="60" t="s">
        <v>5</v>
      </c>
      <c r="C13" s="30" t="s">
        <v>6</v>
      </c>
      <c r="D13" s="60" t="s">
        <v>7</v>
      </c>
      <c r="E13" s="11"/>
      <c r="F13" s="11"/>
      <c r="G13" s="11"/>
      <c r="H13" s="11"/>
      <c r="I13" s="11"/>
      <c r="J13" s="11"/>
    </row>
    <row r="14" spans="1:10" ht="35.1" customHeight="1" x14ac:dyDescent="0.2">
      <c r="A14" s="61">
        <v>1</v>
      </c>
      <c r="B14" s="66" t="s">
        <v>86</v>
      </c>
      <c r="C14" s="63">
        <f>11109*C30</f>
        <v>11442.27</v>
      </c>
      <c r="D14" s="63">
        <f>ROUND(C14,0)</f>
        <v>11442</v>
      </c>
      <c r="E14" s="75"/>
    </row>
    <row r="15" spans="1:10" ht="67.5" customHeight="1" x14ac:dyDescent="0.2">
      <c r="A15" s="61">
        <v>2</v>
      </c>
      <c r="B15" s="66" t="s">
        <v>81</v>
      </c>
      <c r="C15" s="63">
        <f>86528*C30</f>
        <v>89123.839999999997</v>
      </c>
      <c r="D15" s="63">
        <f>ROUND(C15,0)</f>
        <v>89124</v>
      </c>
      <c r="E15" s="75"/>
    </row>
    <row r="16" spans="1:10" ht="35.1" customHeight="1" x14ac:dyDescent="0.2">
      <c r="B16" s="20" t="s">
        <v>87</v>
      </c>
      <c r="C16" s="20"/>
      <c r="D16" s="65">
        <f>SUM(D14:D15)</f>
        <v>100566</v>
      </c>
    </row>
    <row r="17" spans="2:4" ht="39.950000000000003" customHeight="1" x14ac:dyDescent="0.2"/>
    <row r="18" spans="2:4" ht="18" customHeight="1" x14ac:dyDescent="0.2">
      <c r="B18" s="62" t="s">
        <v>10</v>
      </c>
      <c r="C18" s="68"/>
      <c r="D18" s="69">
        <v>65</v>
      </c>
    </row>
    <row r="19" spans="2:4" ht="18" customHeight="1" x14ac:dyDescent="0.2">
      <c r="B19" s="25"/>
      <c r="C19" s="25"/>
    </row>
    <row r="20" spans="2:4" ht="18" customHeight="1" x14ac:dyDescent="0.2">
      <c r="B20" s="62" t="s">
        <v>11</v>
      </c>
      <c r="C20" s="68"/>
      <c r="D20" s="69">
        <v>500</v>
      </c>
    </row>
    <row r="21" spans="2:4" hidden="1" x14ac:dyDescent="0.2"/>
    <row r="22" spans="2:4" hidden="1" x14ac:dyDescent="0.2"/>
    <row r="23" spans="2:4" hidden="1" x14ac:dyDescent="0.2">
      <c r="B23" s="70"/>
      <c r="C23" s="70"/>
    </row>
    <row r="24" spans="2:4" hidden="1" x14ac:dyDescent="0.2"/>
    <row r="25" spans="2:4" hidden="1" x14ac:dyDescent="0.2"/>
    <row r="26" spans="2:4" hidden="1" x14ac:dyDescent="0.2"/>
    <row r="27" spans="2:4" hidden="1" x14ac:dyDescent="0.2"/>
    <row r="28" spans="2:4" hidden="1" x14ac:dyDescent="0.2"/>
    <row r="29" spans="2:4" hidden="1" x14ac:dyDescent="0.2"/>
    <row r="30" spans="2:4" ht="25.5" hidden="1" x14ac:dyDescent="0.2">
      <c r="B30" s="26" t="s">
        <v>12</v>
      </c>
      <c r="C30" s="27">
        <v>1.03</v>
      </c>
    </row>
    <row r="31" spans="2:4" hidden="1" x14ac:dyDescent="0.2">
      <c r="B31" s="24"/>
    </row>
    <row r="32" spans="2:4" hidden="1" x14ac:dyDescent="0.2">
      <c r="B32" s="24"/>
      <c r="C32" s="27"/>
    </row>
    <row r="33" spans="2:3" hidden="1" x14ac:dyDescent="0.2">
      <c r="B33" s="24"/>
      <c r="C33" s="27"/>
    </row>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&amp;C2014 PCH KIDNEY CADAVERIC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zoomScaleNormal="100" workbookViewId="0">
      <selection activeCell="F17" sqref="F17"/>
    </sheetView>
  </sheetViews>
  <sheetFormatPr defaultColWidth="9" defaultRowHeight="12.75" x14ac:dyDescent="0.2"/>
  <cols>
    <col min="1" max="1" width="2.875" style="1" customWidth="1"/>
    <col min="2" max="2" width="35.625" style="1" customWidth="1"/>
    <col min="3" max="3" width="23.375" style="1" hidden="1" customWidth="1"/>
    <col min="4" max="4" width="24.3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93</v>
      </c>
      <c r="B2" s="222"/>
      <c r="C2" s="222"/>
      <c r="D2" s="222"/>
      <c r="E2" s="222"/>
      <c r="F2" s="222"/>
      <c r="G2" s="222"/>
      <c r="H2" s="222"/>
      <c r="I2" s="222"/>
      <c r="J2" s="222"/>
    </row>
    <row r="3" spans="1:10" s="3" customFormat="1" ht="19.899999999999999" customHeight="1" x14ac:dyDescent="0.25">
      <c r="A3" s="227" t="s">
        <v>94</v>
      </c>
      <c r="B3" s="227"/>
      <c r="C3" s="227"/>
      <c r="D3" s="227"/>
      <c r="E3" s="227"/>
      <c r="F3" s="227"/>
      <c r="G3" s="227"/>
      <c r="H3" s="227"/>
      <c r="I3" s="227"/>
      <c r="J3" s="227"/>
    </row>
    <row r="4" spans="1:10" s="3" customFormat="1" ht="19.899999999999999" customHeight="1" x14ac:dyDescent="0.25">
      <c r="A4" s="227" t="s">
        <v>1</v>
      </c>
      <c r="B4" s="227"/>
      <c r="C4" s="227"/>
      <c r="D4" s="227"/>
      <c r="E4" s="227"/>
      <c r="F4" s="227"/>
      <c r="G4" s="227"/>
      <c r="H4" s="227"/>
      <c r="I4" s="227"/>
      <c r="J4" s="227"/>
    </row>
    <row r="5" spans="1:10" s="3" customFormat="1" ht="19.899999999999999" customHeight="1" x14ac:dyDescent="0.25">
      <c r="A5" s="222" t="s">
        <v>90</v>
      </c>
      <c r="B5" s="222"/>
      <c r="C5" s="222"/>
      <c r="D5" s="222"/>
      <c r="E5" s="222"/>
      <c r="F5" s="222"/>
      <c r="G5" s="222"/>
      <c r="H5" s="222"/>
      <c r="I5" s="222"/>
      <c r="J5" s="222"/>
    </row>
    <row r="6" spans="1:10" s="3" customFormat="1" ht="12.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18.75" customHeight="1" x14ac:dyDescent="0.25">
      <c r="B9" s="5"/>
      <c r="C9" s="5"/>
    </row>
    <row r="10" spans="1:10" ht="18.75" customHeight="1" x14ac:dyDescent="0.2">
      <c r="B10" s="7"/>
      <c r="C10" s="7"/>
      <c r="D10" s="8"/>
    </row>
    <row r="11" spans="1:10" ht="18.75" customHeight="1" x14ac:dyDescent="0.2">
      <c r="D11" s="9" t="s">
        <v>95</v>
      </c>
    </row>
    <row r="12" spans="1:10" ht="15" customHeight="1" x14ac:dyDescent="0.2">
      <c r="B12" s="10"/>
      <c r="C12" s="10"/>
      <c r="D12" s="8" t="s">
        <v>91</v>
      </c>
      <c r="E12" s="9"/>
      <c r="F12" s="9"/>
      <c r="G12" s="9"/>
      <c r="H12" s="9"/>
      <c r="I12" s="11"/>
      <c r="J12" s="11"/>
    </row>
    <row r="13" spans="1:10" ht="24.95" customHeight="1" x14ac:dyDescent="0.2">
      <c r="B13" s="12" t="s">
        <v>5</v>
      </c>
      <c r="C13" s="30" t="s">
        <v>6</v>
      </c>
      <c r="D13" s="12" t="s">
        <v>7</v>
      </c>
      <c r="E13" s="9"/>
      <c r="F13" s="9"/>
      <c r="G13" s="9"/>
      <c r="H13" s="9"/>
      <c r="I13" s="11"/>
      <c r="J13" s="11"/>
    </row>
    <row r="14" spans="1:10" ht="15" customHeight="1" x14ac:dyDescent="0.2">
      <c r="A14" s="14">
        <v>1</v>
      </c>
      <c r="B14" s="15" t="s">
        <v>8</v>
      </c>
      <c r="C14" s="17">
        <f>8473*C30</f>
        <v>8727.19</v>
      </c>
      <c r="D14" s="63">
        <f>ROUND(C14,0)</f>
        <v>8727</v>
      </c>
      <c r="E14" s="18"/>
    </row>
    <row r="15" spans="1:10" ht="15" customHeight="1" x14ac:dyDescent="0.2">
      <c r="A15" s="14">
        <v>2</v>
      </c>
      <c r="B15" s="15" t="s">
        <v>37</v>
      </c>
      <c r="C15" s="17">
        <f>11474*C30</f>
        <v>11818.220000000001</v>
      </c>
      <c r="D15" s="63">
        <f>ROUND(C15,0)</f>
        <v>11818</v>
      </c>
      <c r="E15" s="18"/>
    </row>
    <row r="16" spans="1:10" ht="15" customHeight="1" x14ac:dyDescent="0.2">
      <c r="A16" s="14">
        <v>3</v>
      </c>
      <c r="B16" s="15" t="s">
        <v>21</v>
      </c>
      <c r="C16" s="17">
        <f>42723*C30</f>
        <v>44004.69</v>
      </c>
      <c r="D16" s="63">
        <f>ROUND(C16,0)</f>
        <v>44005</v>
      </c>
      <c r="E16" s="18"/>
    </row>
    <row r="17" spans="1:10" ht="51.75" customHeight="1" x14ac:dyDescent="0.2">
      <c r="A17" s="14">
        <v>4</v>
      </c>
      <c r="B17" s="35" t="s">
        <v>22</v>
      </c>
      <c r="C17" s="17">
        <f>57922*C30</f>
        <v>59659.66</v>
      </c>
      <c r="D17" s="63">
        <f>ROUND(C17,0)</f>
        <v>59660</v>
      </c>
      <c r="E17" s="18"/>
    </row>
    <row r="18" spans="1:10" ht="45.75" customHeight="1" x14ac:dyDescent="0.2">
      <c r="A18" s="14">
        <v>5</v>
      </c>
      <c r="B18" s="35" t="s">
        <v>30</v>
      </c>
      <c r="C18" s="17">
        <f>8226*C30</f>
        <v>8472.7800000000007</v>
      </c>
      <c r="D18" s="63">
        <f>ROUND(C18,0)</f>
        <v>8473</v>
      </c>
      <c r="E18" s="18"/>
    </row>
    <row r="19" spans="1:10" ht="35.1" customHeight="1" x14ac:dyDescent="0.2">
      <c r="B19" s="20" t="s">
        <v>54</v>
      </c>
      <c r="C19" s="20"/>
      <c r="D19" s="21">
        <f>SUM(D16:D18,D14:D15)</f>
        <v>132683</v>
      </c>
    </row>
    <row r="20" spans="1:10" ht="23.45" customHeight="1" x14ac:dyDescent="0.2">
      <c r="B20" s="198"/>
      <c r="C20" s="198"/>
      <c r="D20" s="203"/>
    </row>
    <row r="21" spans="1:10" ht="15" customHeight="1" x14ac:dyDescent="0.2">
      <c r="B21" s="204" t="s">
        <v>10</v>
      </c>
      <c r="C21" s="205"/>
      <c r="D21" s="206">
        <v>65</v>
      </c>
    </row>
    <row r="22" spans="1:10" ht="15" customHeight="1" x14ac:dyDescent="0.2">
      <c r="B22" s="24"/>
      <c r="C22" s="24"/>
    </row>
    <row r="23" spans="1:10" ht="15" customHeight="1" x14ac:dyDescent="0.2">
      <c r="B23" s="15" t="s">
        <v>11</v>
      </c>
      <c r="C23" s="22"/>
      <c r="D23" s="23">
        <v>500</v>
      </c>
    </row>
    <row r="24" spans="1:10" ht="20.100000000000001" customHeight="1" x14ac:dyDescent="0.2">
      <c r="B24" s="25"/>
      <c r="C24" s="25"/>
    </row>
    <row r="25" spans="1:10" ht="42" customHeight="1" x14ac:dyDescent="0.2">
      <c r="B25" s="19" t="s">
        <v>41</v>
      </c>
      <c r="C25" s="24"/>
    </row>
    <row r="26" spans="1:10" hidden="1" x14ac:dyDescent="0.2"/>
    <row r="27" spans="1:10" hidden="1" x14ac:dyDescent="0.2"/>
    <row r="28" spans="1:10" hidden="1" x14ac:dyDescent="0.2"/>
    <row r="29" spans="1:10" hidden="1" x14ac:dyDescent="0.2"/>
    <row r="30" spans="1:10" customFormat="1" ht="25.5" hidden="1" x14ac:dyDescent="0.2">
      <c r="A30" s="1"/>
      <c r="B30" s="26" t="s">
        <v>12</v>
      </c>
      <c r="C30" s="27">
        <v>1.03</v>
      </c>
      <c r="D30" s="1"/>
      <c r="E30" s="1"/>
      <c r="F30" s="1"/>
      <c r="G30" s="1"/>
      <c r="H30" s="1"/>
      <c r="I30" s="1"/>
      <c r="J30" s="1"/>
    </row>
    <row r="31" spans="1:10" hidden="1" x14ac:dyDescent="0.2">
      <c r="B31" s="24"/>
    </row>
    <row r="32" spans="1:10" hidden="1" x14ac:dyDescent="0.2">
      <c r="B32" s="24"/>
      <c r="C32" s="27"/>
    </row>
    <row r="33" spans="2:3" hidden="1" x14ac:dyDescent="0.2">
      <c r="B33" s="24"/>
      <c r="C33" s="27"/>
    </row>
    <row r="34" spans="2:3" x14ac:dyDescent="0.2">
      <c r="B34" s="24"/>
      <c r="C34" s="27"/>
    </row>
    <row r="35" spans="2:3" x14ac:dyDescent="0.2">
      <c r="B35" s="24"/>
      <c r="C35" s="27"/>
    </row>
    <row r="36" spans="2:3" x14ac:dyDescent="0.2">
      <c r="B36" s="24"/>
      <c r="C36" s="27"/>
    </row>
    <row r="37" spans="2:3" x14ac:dyDescent="0.2">
      <c r="B37" s="24"/>
      <c r="C37" s="27"/>
    </row>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topLeftCell="A9" zoomScaleNormal="100" workbookViewId="0">
      <selection activeCell="A9" sqref="A9"/>
    </sheetView>
  </sheetViews>
  <sheetFormatPr defaultColWidth="9" defaultRowHeight="12.75" x14ac:dyDescent="0.2"/>
  <cols>
    <col min="1" max="1" width="2.875" style="1" customWidth="1"/>
    <col min="2" max="2" width="37.875" style="1" customWidth="1"/>
    <col min="3" max="3" width="21.5" style="1" hidden="1" customWidth="1"/>
    <col min="4" max="4" width="28.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93</v>
      </c>
      <c r="B2" s="222"/>
      <c r="C2" s="222"/>
      <c r="D2" s="222"/>
      <c r="E2" s="222"/>
      <c r="F2" s="222"/>
      <c r="G2" s="222"/>
      <c r="H2" s="222"/>
      <c r="I2" s="222"/>
      <c r="J2" s="222"/>
      <c r="K2" s="222"/>
    </row>
    <row r="3" spans="1:11" s="3" customFormat="1" ht="19.899999999999999" customHeight="1" x14ac:dyDescent="0.25">
      <c r="A3" s="227" t="s">
        <v>96</v>
      </c>
      <c r="B3" s="227"/>
      <c r="C3" s="227"/>
      <c r="D3" s="227"/>
      <c r="E3" s="227"/>
      <c r="F3" s="227"/>
      <c r="G3" s="227"/>
      <c r="H3" s="227"/>
      <c r="I3" s="227"/>
      <c r="J3" s="227"/>
      <c r="K3" s="227"/>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90</v>
      </c>
      <c r="B5" s="222"/>
      <c r="C5" s="222"/>
      <c r="D5" s="222"/>
      <c r="E5" s="222"/>
      <c r="F5" s="222"/>
      <c r="G5" s="222"/>
      <c r="H5" s="222"/>
      <c r="I5" s="222"/>
      <c r="J5" s="222"/>
      <c r="K5" s="222"/>
    </row>
    <row r="6" spans="1:11" s="3" customFormat="1" ht="12.75" customHeight="1" x14ac:dyDescent="0.25">
      <c r="A6" s="2"/>
      <c r="B6" s="2"/>
      <c r="C6" s="2"/>
      <c r="D6" s="2"/>
      <c r="E6" s="2"/>
      <c r="F6" s="2"/>
      <c r="G6" s="2"/>
      <c r="H6" s="2"/>
      <c r="I6" s="2"/>
      <c r="J6" s="2"/>
      <c r="K6" s="2"/>
    </row>
    <row r="7" spans="1:11" s="4" customFormat="1" ht="30" customHeight="1" x14ac:dyDescent="0.25">
      <c r="B7" s="5"/>
      <c r="C7" s="5"/>
      <c r="D7" s="6"/>
      <c r="E7" s="6"/>
      <c r="F7" s="6"/>
      <c r="G7" s="6"/>
    </row>
    <row r="8" spans="1:11" s="4" customFormat="1" ht="18.75" customHeight="1" x14ac:dyDescent="0.25">
      <c r="B8" s="5"/>
      <c r="C8" s="5"/>
    </row>
    <row r="9" spans="1:11" ht="18.75" customHeight="1" x14ac:dyDescent="0.2">
      <c r="D9" s="9" t="s">
        <v>97</v>
      </c>
    </row>
    <row r="10" spans="1:11" ht="13.9" customHeight="1" x14ac:dyDescent="0.2">
      <c r="B10" s="10"/>
      <c r="C10" s="10"/>
      <c r="D10" s="8" t="s">
        <v>91</v>
      </c>
      <c r="E10" s="9"/>
      <c r="F10" s="9"/>
      <c r="G10" s="9"/>
      <c r="H10" s="9"/>
      <c r="I10" s="11"/>
      <c r="J10" s="11"/>
      <c r="K10" s="11"/>
    </row>
    <row r="11" spans="1:11" ht="24.95" customHeight="1" x14ac:dyDescent="0.2">
      <c r="B11" s="12" t="s">
        <v>5</v>
      </c>
      <c r="C11" s="30" t="s">
        <v>6</v>
      </c>
      <c r="D11" s="12" t="s">
        <v>7</v>
      </c>
    </row>
    <row r="12" spans="1:11" ht="15" customHeight="1" x14ac:dyDescent="0.2">
      <c r="A12" s="14">
        <v>1</v>
      </c>
      <c r="B12" s="15" t="s">
        <v>8</v>
      </c>
      <c r="C12" s="17">
        <f>8478*C28</f>
        <v>8732.34</v>
      </c>
      <c r="D12" s="63">
        <f t="shared" ref="D12:D17" si="0">ROUND(C12,0)</f>
        <v>8732</v>
      </c>
    </row>
    <row r="13" spans="1:11" ht="15" customHeight="1" x14ac:dyDescent="0.2">
      <c r="A13" s="14">
        <v>2</v>
      </c>
      <c r="B13" s="15" t="s">
        <v>98</v>
      </c>
      <c r="C13" s="17">
        <f>3587*C28</f>
        <v>3694.61</v>
      </c>
      <c r="D13" s="63">
        <f t="shared" si="0"/>
        <v>3695</v>
      </c>
    </row>
    <row r="14" spans="1:11" ht="35.1" customHeight="1" x14ac:dyDescent="0.2">
      <c r="A14" s="14">
        <v>3</v>
      </c>
      <c r="B14" s="19" t="s">
        <v>99</v>
      </c>
      <c r="C14" s="17">
        <f>11831*C28</f>
        <v>12185.93</v>
      </c>
      <c r="D14" s="63">
        <f t="shared" si="0"/>
        <v>12186</v>
      </c>
    </row>
    <row r="15" spans="1:11" ht="15" customHeight="1" x14ac:dyDescent="0.2">
      <c r="A15" s="14">
        <v>4</v>
      </c>
      <c r="B15" s="15" t="s">
        <v>21</v>
      </c>
      <c r="C15" s="17">
        <f>42731*C28</f>
        <v>44012.93</v>
      </c>
      <c r="D15" s="63">
        <f t="shared" si="0"/>
        <v>44013</v>
      </c>
    </row>
    <row r="16" spans="1:11" ht="36.6" customHeight="1" x14ac:dyDescent="0.2">
      <c r="A16" s="14">
        <v>5</v>
      </c>
      <c r="B16" s="35" t="s">
        <v>22</v>
      </c>
      <c r="C16" s="17">
        <f>57932*C28</f>
        <v>59669.96</v>
      </c>
      <c r="D16" s="63">
        <f t="shared" si="0"/>
        <v>59670</v>
      </c>
    </row>
    <row r="17" spans="1:11" ht="29.45" customHeight="1" x14ac:dyDescent="0.2">
      <c r="A17" s="14">
        <v>6</v>
      </c>
      <c r="B17" s="35" t="s">
        <v>30</v>
      </c>
      <c r="C17" s="17">
        <f>8232*C28</f>
        <v>8478.9600000000009</v>
      </c>
      <c r="D17" s="63">
        <f t="shared" si="0"/>
        <v>8479</v>
      </c>
    </row>
    <row r="18" spans="1:11" ht="35.1" customHeight="1" x14ac:dyDescent="0.2">
      <c r="B18" s="20" t="s">
        <v>54</v>
      </c>
      <c r="C18" s="20"/>
      <c r="D18" s="21">
        <f>SUM(D15:D17,D12:D14)</f>
        <v>136775</v>
      </c>
      <c r="K18" s="36"/>
    </row>
    <row r="19" spans="1:11" ht="18.600000000000001" customHeight="1" x14ac:dyDescent="0.2">
      <c r="B19" s="29"/>
      <c r="C19" s="77"/>
      <c r="D19" s="49"/>
    </row>
    <row r="20" spans="1:11" ht="15" customHeight="1" x14ac:dyDescent="0.2">
      <c r="B20" s="33" t="s">
        <v>10</v>
      </c>
      <c r="C20" s="41"/>
      <c r="D20" s="42">
        <v>65</v>
      </c>
    </row>
    <row r="21" spans="1:11" ht="15" customHeight="1" x14ac:dyDescent="0.2">
      <c r="B21" s="24"/>
      <c r="C21" s="24"/>
    </row>
    <row r="22" spans="1:11" ht="15" customHeight="1" x14ac:dyDescent="0.2">
      <c r="B22" s="15" t="s">
        <v>11</v>
      </c>
      <c r="C22" s="22"/>
      <c r="D22" s="23">
        <v>500</v>
      </c>
    </row>
    <row r="23" spans="1:11" ht="20.45" customHeight="1" x14ac:dyDescent="0.2">
      <c r="B23" s="25"/>
      <c r="C23" s="25"/>
    </row>
    <row r="24" spans="1:11" ht="67.150000000000006" customHeight="1" x14ac:dyDescent="0.2">
      <c r="B24" s="19" t="s">
        <v>41</v>
      </c>
      <c r="C24" s="196"/>
      <c r="D24" s="235" t="s">
        <v>100</v>
      </c>
      <c r="E24" s="230"/>
      <c r="F24" s="231"/>
    </row>
    <row r="25" spans="1:11" hidden="1" x14ac:dyDescent="0.2"/>
    <row r="26" spans="1:11" hidden="1" x14ac:dyDescent="0.2"/>
    <row r="27" spans="1:11" hidden="1" x14ac:dyDescent="0.2"/>
    <row r="28" spans="1:11" ht="25.5" hidden="1" x14ac:dyDescent="0.2">
      <c r="B28" s="26" t="s">
        <v>12</v>
      </c>
      <c r="C28" s="27">
        <v>1.03</v>
      </c>
    </row>
    <row r="29" spans="1:11" customFormat="1" hidden="1" x14ac:dyDescent="0.2">
      <c r="A29" s="1"/>
      <c r="B29" s="46"/>
      <c r="C29" s="46"/>
      <c r="D29" s="1"/>
      <c r="E29" s="1"/>
      <c r="F29" s="1"/>
      <c r="G29" s="1"/>
      <c r="H29" s="1"/>
      <c r="I29" s="1"/>
      <c r="J29" s="1"/>
      <c r="K29" s="1"/>
    </row>
    <row r="30" spans="1:11" hidden="1" x14ac:dyDescent="0.2"/>
    <row r="31" spans="1:11" ht="35.450000000000003" customHeight="1" x14ac:dyDescent="0.2"/>
  </sheetData>
  <mergeCells count="5">
    <mergeCell ref="A2:K2"/>
    <mergeCell ref="A3:K3"/>
    <mergeCell ref="A4:K4"/>
    <mergeCell ref="A5:K5"/>
    <mergeCell ref="D24:F24"/>
  </mergeCells>
  <pageMargins left="0.25" right="0.25" top="0.25" bottom="0.25" header="0.25" footer="0.25"/>
  <pageSetup scale="71" fitToWidth="0" fitToHeight="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topLeftCell="A10" zoomScaleNormal="100" workbookViewId="0">
      <selection activeCell="B17" sqref="B17"/>
    </sheetView>
  </sheetViews>
  <sheetFormatPr defaultColWidth="9" defaultRowHeight="12.75" x14ac:dyDescent="0.2"/>
  <cols>
    <col min="1" max="1" width="2.875" style="1" customWidth="1"/>
    <col min="2" max="2" width="41.5" style="1" customWidth="1"/>
    <col min="3" max="3" width="21.75" style="1" hidden="1" customWidth="1"/>
    <col min="4" max="4" width="23.3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0</v>
      </c>
      <c r="B2" s="222"/>
      <c r="C2" s="222"/>
      <c r="D2" s="222"/>
      <c r="E2" s="222"/>
      <c r="F2" s="222"/>
      <c r="G2" s="222"/>
      <c r="H2" s="222"/>
      <c r="I2" s="222"/>
      <c r="J2" s="222"/>
    </row>
    <row r="3" spans="1:10" s="3" customFormat="1" ht="19.899999999999999" customHeight="1" x14ac:dyDescent="0.25">
      <c r="A3" s="222" t="s">
        <v>13</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2</v>
      </c>
      <c r="B5" s="222"/>
      <c r="C5" s="222"/>
      <c r="D5" s="222"/>
      <c r="E5" s="222"/>
      <c r="F5" s="222"/>
      <c r="G5" s="222"/>
      <c r="H5" s="222"/>
      <c r="I5" s="222"/>
      <c r="J5" s="222"/>
    </row>
    <row r="6" spans="1:10" s="3" customFormat="1" ht="30"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30" customHeight="1" x14ac:dyDescent="0.25">
      <c r="B9" s="5"/>
      <c r="C9" s="5"/>
    </row>
    <row r="10" spans="1:10" s="4" customFormat="1" ht="30" customHeight="1" x14ac:dyDescent="0.25">
      <c r="B10" s="5"/>
      <c r="C10" s="5"/>
    </row>
    <row r="11" spans="1:10" ht="24.95" customHeight="1" x14ac:dyDescent="0.2">
      <c r="B11" s="7"/>
      <c r="C11" s="7"/>
      <c r="D11" s="8"/>
    </row>
    <row r="12" spans="1:10" ht="24.95" customHeight="1" x14ac:dyDescent="0.2">
      <c r="D12" s="9" t="s">
        <v>14</v>
      </c>
    </row>
    <row r="13" spans="1:10" ht="24.95" customHeight="1" x14ac:dyDescent="0.2">
      <c r="B13" s="10"/>
      <c r="C13" s="10"/>
      <c r="D13" s="9" t="s">
        <v>4</v>
      </c>
      <c r="E13" s="9"/>
      <c r="F13" s="9"/>
      <c r="G13" s="9"/>
      <c r="H13" s="9"/>
      <c r="I13" s="11"/>
      <c r="J13" s="11"/>
    </row>
    <row r="14" spans="1:10" ht="24.95" customHeight="1" x14ac:dyDescent="0.2">
      <c r="B14" s="12" t="s">
        <v>5</v>
      </c>
      <c r="C14" s="13" t="s">
        <v>6</v>
      </c>
      <c r="D14" s="28" t="s">
        <v>7</v>
      </c>
      <c r="E14" s="9"/>
      <c r="F14" s="9"/>
      <c r="G14" s="9"/>
      <c r="H14" s="9"/>
      <c r="I14" s="11"/>
      <c r="J14" s="11"/>
    </row>
    <row r="15" spans="1:10" ht="35.1" customHeight="1" x14ac:dyDescent="0.2">
      <c r="A15" s="14">
        <v>1</v>
      </c>
      <c r="B15" s="19" t="s">
        <v>15</v>
      </c>
      <c r="C15" s="16">
        <f>12921*C31</f>
        <v>13308.630000000001</v>
      </c>
      <c r="D15" s="17">
        <f>ROUND(C15,0)</f>
        <v>13309</v>
      </c>
      <c r="E15" s="18"/>
    </row>
    <row r="16" spans="1:10" ht="43.5" customHeight="1" x14ac:dyDescent="0.2">
      <c r="A16" s="14">
        <v>2</v>
      </c>
      <c r="B16" s="19" t="s">
        <v>16</v>
      </c>
      <c r="C16" s="16">
        <f>62265*C31</f>
        <v>64132.950000000004</v>
      </c>
      <c r="D16" s="17">
        <f>ROUND(C16,0)</f>
        <v>64133</v>
      </c>
      <c r="E16" s="18"/>
    </row>
    <row r="17" spans="1:5" ht="52.5" customHeight="1" x14ac:dyDescent="0.2">
      <c r="A17" s="14">
        <v>3</v>
      </c>
      <c r="B17" s="19" t="s">
        <v>17</v>
      </c>
      <c r="C17" s="16">
        <f>13389*C31</f>
        <v>13790.67</v>
      </c>
      <c r="D17" s="17">
        <f>ROUND(C17,0)</f>
        <v>13791</v>
      </c>
      <c r="E17" s="18"/>
    </row>
    <row r="18" spans="1:5" ht="35.1" customHeight="1" x14ac:dyDescent="0.2">
      <c r="B18" s="20" t="s">
        <v>18</v>
      </c>
      <c r="C18" s="20"/>
      <c r="D18" s="21">
        <f>D15+D16+D17</f>
        <v>91233</v>
      </c>
    </row>
    <row r="19" spans="1:5" ht="39.950000000000003" customHeight="1" x14ac:dyDescent="0.2"/>
    <row r="20" spans="1:5" ht="20.100000000000001" customHeight="1" x14ac:dyDescent="0.2">
      <c r="B20" s="15" t="s">
        <v>10</v>
      </c>
      <c r="C20" s="22"/>
      <c r="D20" s="23">
        <v>154</v>
      </c>
    </row>
    <row r="21" spans="1:5" ht="20.100000000000001" customHeight="1" x14ac:dyDescent="0.2">
      <c r="B21" s="24"/>
      <c r="C21" s="24"/>
    </row>
    <row r="22" spans="1:5" ht="20.100000000000001" customHeight="1" x14ac:dyDescent="0.2">
      <c r="B22" s="15" t="s">
        <v>11</v>
      </c>
      <c r="C22" s="22"/>
      <c r="D22" s="23">
        <v>750</v>
      </c>
    </row>
    <row r="23" spans="1:5" ht="20.100000000000001" customHeight="1" x14ac:dyDescent="0.2">
      <c r="B23" s="25"/>
      <c r="C23" s="25"/>
    </row>
    <row r="24" spans="1:5" ht="75" hidden="1" customHeight="1" x14ac:dyDescent="0.2">
      <c r="B24" s="24"/>
      <c r="C24" s="24"/>
    </row>
    <row r="25" spans="1:5" hidden="1" x14ac:dyDescent="0.2"/>
    <row r="26" spans="1:5" hidden="1" x14ac:dyDescent="0.2"/>
    <row r="27" spans="1:5" hidden="1" x14ac:dyDescent="0.2"/>
    <row r="28" spans="1:5" hidden="1" x14ac:dyDescent="0.2"/>
    <row r="29" spans="1:5" hidden="1" x14ac:dyDescent="0.2"/>
    <row r="30" spans="1:5" hidden="1" x14ac:dyDescent="0.2"/>
    <row r="31" spans="1:5" ht="25.5" hidden="1" x14ac:dyDescent="0.2">
      <c r="B31" s="26" t="s">
        <v>12</v>
      </c>
      <c r="C31" s="27">
        <v>1.03</v>
      </c>
    </row>
    <row r="32" spans="1:5" hidden="1" x14ac:dyDescent="0.2"/>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opLeftCell="A7" zoomScaleNormal="100" workbookViewId="0">
      <selection activeCell="G18" sqref="G18"/>
    </sheetView>
  </sheetViews>
  <sheetFormatPr defaultColWidth="9" defaultRowHeight="12.75" x14ac:dyDescent="0.2"/>
  <cols>
    <col min="1" max="1" width="2.875" style="1" customWidth="1"/>
    <col min="2" max="2" width="37.25" style="1" customWidth="1"/>
    <col min="3" max="3" width="21.125" style="1" hidden="1" customWidth="1"/>
    <col min="4" max="4" width="31.37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93</v>
      </c>
      <c r="B2" s="222"/>
      <c r="C2" s="222"/>
      <c r="D2" s="222"/>
      <c r="E2" s="222"/>
      <c r="F2" s="222"/>
      <c r="G2" s="222"/>
      <c r="H2" s="222"/>
      <c r="I2" s="222"/>
      <c r="J2" s="222"/>
      <c r="K2" s="222"/>
    </row>
    <row r="3" spans="1:11" s="3" customFormat="1" ht="19.899999999999999" customHeight="1" x14ac:dyDescent="0.25">
      <c r="A3" s="227" t="s">
        <v>101</v>
      </c>
      <c r="B3" s="227"/>
      <c r="C3" s="227"/>
      <c r="D3" s="227"/>
      <c r="E3" s="227"/>
      <c r="F3" s="227"/>
      <c r="G3" s="227"/>
      <c r="H3" s="227"/>
      <c r="I3" s="227"/>
      <c r="J3" s="227"/>
      <c r="K3" s="227"/>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90</v>
      </c>
      <c r="B5" s="222"/>
      <c r="C5" s="222"/>
      <c r="D5" s="222"/>
      <c r="E5" s="222"/>
      <c r="F5" s="222"/>
      <c r="G5" s="222"/>
      <c r="H5" s="222"/>
      <c r="I5" s="222"/>
      <c r="J5" s="222"/>
      <c r="K5" s="222"/>
    </row>
    <row r="6" spans="1:11" s="3" customFormat="1" ht="12.75" customHeight="1" x14ac:dyDescent="0.25">
      <c r="A6" s="2"/>
      <c r="B6" s="2"/>
      <c r="C6" s="2"/>
      <c r="D6" s="2"/>
      <c r="E6" s="2"/>
      <c r="F6" s="2"/>
      <c r="G6" s="2"/>
      <c r="H6" s="2"/>
      <c r="I6" s="2"/>
      <c r="J6" s="2"/>
      <c r="K6" s="2"/>
    </row>
    <row r="7" spans="1:11" s="4" customFormat="1" ht="18.75" customHeight="1" x14ac:dyDescent="0.25">
      <c r="B7" s="5"/>
      <c r="C7" s="5"/>
    </row>
    <row r="8" spans="1:11" ht="18.75" customHeight="1" x14ac:dyDescent="0.2">
      <c r="B8" s="7"/>
      <c r="C8" s="7"/>
      <c r="D8" s="8"/>
    </row>
    <row r="9" spans="1:11" ht="18.75" customHeight="1" x14ac:dyDescent="0.2">
      <c r="D9" s="9" t="s">
        <v>102</v>
      </c>
    </row>
    <row r="10" spans="1:11" ht="24.95" customHeight="1" x14ac:dyDescent="0.2">
      <c r="B10" s="10"/>
      <c r="C10" s="10"/>
      <c r="D10" s="8" t="s">
        <v>91</v>
      </c>
      <c r="E10" s="9"/>
      <c r="F10" s="9"/>
      <c r="G10" s="9"/>
      <c r="H10" s="9"/>
      <c r="I10" s="11"/>
      <c r="J10" s="11"/>
      <c r="K10" s="11"/>
    </row>
    <row r="11" spans="1:11" ht="24.95" customHeight="1" x14ac:dyDescent="0.2">
      <c r="B11" s="12" t="s">
        <v>5</v>
      </c>
      <c r="C11" s="30" t="s">
        <v>6</v>
      </c>
      <c r="D11" s="12" t="s">
        <v>7</v>
      </c>
      <c r="E11" s="9"/>
      <c r="F11" s="9"/>
      <c r="G11" s="9"/>
      <c r="H11" s="9"/>
      <c r="I11" s="11"/>
      <c r="J11" s="11"/>
      <c r="K11" s="11"/>
    </row>
    <row r="12" spans="1:11" ht="35.1" customHeight="1" x14ac:dyDescent="0.2">
      <c r="A12" s="14">
        <v>1</v>
      </c>
      <c r="B12" s="15" t="s">
        <v>8</v>
      </c>
      <c r="C12" s="17">
        <f>8480*C28</f>
        <v>8734.4</v>
      </c>
      <c r="D12" s="63">
        <f>ROUND(C12,0)</f>
        <v>8734</v>
      </c>
      <c r="E12" s="18"/>
    </row>
    <row r="13" spans="1:11" ht="35.1" customHeight="1" x14ac:dyDescent="0.2">
      <c r="A13" s="14">
        <v>2</v>
      </c>
      <c r="B13" s="15" t="s">
        <v>98</v>
      </c>
      <c r="C13" s="17">
        <f>8030*C28</f>
        <v>8270.9</v>
      </c>
      <c r="D13" s="63">
        <f>ROUND(C13,0)</f>
        <v>8271</v>
      </c>
      <c r="E13" s="18"/>
    </row>
    <row r="14" spans="1:11" ht="42" customHeight="1" x14ac:dyDescent="0.2">
      <c r="A14" s="14">
        <v>3</v>
      </c>
      <c r="B14" s="19" t="s">
        <v>103</v>
      </c>
      <c r="C14" s="17"/>
      <c r="D14" s="17" t="s">
        <v>104</v>
      </c>
      <c r="E14" s="18"/>
    </row>
    <row r="15" spans="1:11" ht="35.1" customHeight="1" x14ac:dyDescent="0.2">
      <c r="A15" s="14">
        <v>4</v>
      </c>
      <c r="B15" s="15" t="s">
        <v>21</v>
      </c>
      <c r="C15" s="17">
        <f>43745*C28</f>
        <v>45057.35</v>
      </c>
      <c r="D15" s="63">
        <f>ROUND(C15,0)</f>
        <v>45057</v>
      </c>
      <c r="E15" s="18"/>
    </row>
    <row r="16" spans="1:11" ht="51" customHeight="1" x14ac:dyDescent="0.2">
      <c r="A16" s="14">
        <v>5</v>
      </c>
      <c r="B16" s="35" t="s">
        <v>22</v>
      </c>
      <c r="C16" s="17">
        <f>69097*C28</f>
        <v>71169.91</v>
      </c>
      <c r="D16" s="63">
        <f>ROUND(C16,0)</f>
        <v>71170</v>
      </c>
      <c r="E16" s="18"/>
    </row>
    <row r="17" spans="1:11" ht="47.25" customHeight="1" x14ac:dyDescent="0.2">
      <c r="A17" s="14">
        <v>6</v>
      </c>
      <c r="B17" s="35" t="s">
        <v>30</v>
      </c>
      <c r="C17" s="17">
        <f>22850*C28</f>
        <v>23535.5</v>
      </c>
      <c r="D17" s="63">
        <f>ROUND(C17,0)</f>
        <v>23536</v>
      </c>
      <c r="E17" s="18"/>
    </row>
    <row r="18" spans="1:11" ht="35.1" customHeight="1" x14ac:dyDescent="0.2">
      <c r="B18" s="20" t="s">
        <v>54</v>
      </c>
      <c r="C18" s="20"/>
      <c r="D18" s="21">
        <f>SUM(D15:D17,D12:D14)</f>
        <v>156768</v>
      </c>
      <c r="K18" s="36"/>
    </row>
    <row r="19" spans="1:11" ht="22.15" customHeight="1" x14ac:dyDescent="0.2">
      <c r="B19" s="198"/>
      <c r="C19" s="198"/>
      <c r="D19" s="203"/>
    </row>
    <row r="20" spans="1:11" ht="20.100000000000001" customHeight="1" x14ac:dyDescent="0.2">
      <c r="B20" s="204" t="s">
        <v>10</v>
      </c>
      <c r="C20" s="205"/>
      <c r="D20" s="206">
        <v>65</v>
      </c>
    </row>
    <row r="21" spans="1:11" ht="20.100000000000001" customHeight="1" x14ac:dyDescent="0.2">
      <c r="B21" s="24"/>
      <c r="C21" s="24"/>
    </row>
    <row r="22" spans="1:11" ht="20.100000000000001" customHeight="1" x14ac:dyDescent="0.2">
      <c r="B22" s="15" t="s">
        <v>11</v>
      </c>
      <c r="C22" s="22"/>
      <c r="D22" s="23">
        <v>500</v>
      </c>
    </row>
    <row r="23" spans="1:11" ht="12" customHeight="1" x14ac:dyDescent="0.2">
      <c r="B23" s="25"/>
      <c r="C23" s="25"/>
    </row>
    <row r="24" spans="1:11" ht="58.15" customHeight="1" x14ac:dyDescent="0.2">
      <c r="B24" s="19" t="s">
        <v>41</v>
      </c>
      <c r="C24" s="196"/>
      <c r="D24" s="235" t="s">
        <v>100</v>
      </c>
      <c r="E24" s="230"/>
      <c r="F24" s="231"/>
    </row>
    <row r="25" spans="1:11" hidden="1" x14ac:dyDescent="0.2"/>
    <row r="26" spans="1:11" hidden="1" x14ac:dyDescent="0.2"/>
    <row r="27" spans="1:11" hidden="1" x14ac:dyDescent="0.2"/>
    <row r="28" spans="1:11" ht="25.5" hidden="1" x14ac:dyDescent="0.2">
      <c r="B28" s="26" t="s">
        <v>12</v>
      </c>
      <c r="C28" s="27">
        <v>1.03</v>
      </c>
    </row>
    <row r="29" spans="1:11" customFormat="1" hidden="1" x14ac:dyDescent="0.2">
      <c r="A29" s="1"/>
      <c r="B29" s="46"/>
      <c r="C29" s="46"/>
      <c r="D29" s="1"/>
      <c r="E29" s="1"/>
      <c r="F29" s="1"/>
      <c r="G29" s="1"/>
      <c r="H29" s="1"/>
      <c r="I29" s="1"/>
      <c r="J29" s="1"/>
      <c r="K29" s="1"/>
    </row>
    <row r="30" spans="1:11" hidden="1" x14ac:dyDescent="0.2"/>
    <row r="31" spans="1:11" hidden="1" x14ac:dyDescent="0.2"/>
    <row r="32" spans="1:11" hidden="1" x14ac:dyDescent="0.2"/>
  </sheetData>
  <mergeCells count="5">
    <mergeCell ref="A2:K2"/>
    <mergeCell ref="A3:K3"/>
    <mergeCell ref="A4:K4"/>
    <mergeCell ref="A5:K5"/>
    <mergeCell ref="D24:F24"/>
  </mergeCells>
  <pageMargins left="0.25" right="0.25" top="0.25" bottom="0.25" header="0.25" footer="0.25"/>
  <pageSetup scale="70" fitToWidth="0" fitToHeight="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4" zoomScaleNormal="100" workbookViewId="0">
      <selection activeCell="A10" sqref="A10"/>
    </sheetView>
  </sheetViews>
  <sheetFormatPr defaultColWidth="9" defaultRowHeight="12" x14ac:dyDescent="0.15"/>
  <cols>
    <col min="1" max="1" width="6.5" style="47" customWidth="1"/>
    <col min="2" max="2" width="33.625" style="47" customWidth="1"/>
    <col min="3" max="3" width="15.5" style="47" hidden="1" customWidth="1"/>
    <col min="4" max="4" width="27.5" style="47" customWidth="1"/>
    <col min="5" max="5" width="13.25" style="47" customWidth="1"/>
    <col min="6" max="6" width="12.5" style="47" customWidth="1"/>
    <col min="7" max="7" width="19.125" style="47" customWidth="1"/>
    <col min="8" max="8" width="11.125" style="47" customWidth="1"/>
    <col min="9" max="9" width="10.75" style="47" customWidth="1"/>
    <col min="10" max="10" width="6.375" style="47" customWidth="1"/>
    <col min="11" max="11" width="18.125" style="47" customWidth="1"/>
    <col min="12" max="12" width="9" style="47" customWidth="1"/>
    <col min="13" max="16384" width="9" style="47"/>
  </cols>
  <sheetData>
    <row r="1" spans="1:12" ht="15" customHeight="1" x14ac:dyDescent="0.2">
      <c r="A1" s="53"/>
      <c r="B1" s="53"/>
      <c r="C1" s="53"/>
      <c r="D1" s="232"/>
      <c r="E1" s="232"/>
      <c r="F1" s="232"/>
      <c r="G1" s="232"/>
      <c r="H1" s="232"/>
      <c r="I1" s="232"/>
      <c r="J1" s="232"/>
      <c r="K1" s="232"/>
      <c r="L1" s="232"/>
    </row>
    <row r="2" spans="1:12" ht="19.899999999999999" customHeight="1" x14ac:dyDescent="0.25">
      <c r="A2" s="222" t="s">
        <v>93</v>
      </c>
      <c r="B2" s="222"/>
      <c r="C2" s="222"/>
      <c r="D2" s="222"/>
      <c r="E2" s="222"/>
      <c r="F2" s="222"/>
      <c r="G2" s="222"/>
      <c r="H2" s="222"/>
      <c r="I2" s="222"/>
      <c r="J2" s="222"/>
      <c r="K2" s="222"/>
    </row>
    <row r="3" spans="1:12" ht="19.899999999999999" customHeight="1" x14ac:dyDescent="0.25">
      <c r="A3" s="227" t="s">
        <v>105</v>
      </c>
      <c r="B3" s="227"/>
      <c r="C3" s="227"/>
      <c r="D3" s="227"/>
      <c r="E3" s="227"/>
      <c r="F3" s="227"/>
      <c r="G3" s="227"/>
      <c r="H3" s="227"/>
      <c r="I3" s="227"/>
      <c r="J3" s="227"/>
      <c r="K3" s="227"/>
    </row>
    <row r="4" spans="1:12" ht="19.899999999999999" customHeight="1" x14ac:dyDescent="0.25">
      <c r="A4" s="222" t="s">
        <v>1</v>
      </c>
      <c r="B4" s="222"/>
      <c r="C4" s="222"/>
      <c r="D4" s="222"/>
      <c r="E4" s="222"/>
      <c r="F4" s="222"/>
      <c r="G4" s="222"/>
      <c r="H4" s="222"/>
      <c r="I4" s="222"/>
      <c r="J4" s="222"/>
      <c r="K4" s="222"/>
    </row>
    <row r="5" spans="1:12" ht="19.899999999999999" customHeight="1" x14ac:dyDescent="0.25">
      <c r="A5" s="227" t="s">
        <v>106</v>
      </c>
      <c r="B5" s="227"/>
      <c r="C5" s="227"/>
      <c r="D5" s="227"/>
      <c r="E5" s="227"/>
      <c r="F5" s="227"/>
      <c r="G5" s="227"/>
      <c r="H5" s="227"/>
      <c r="I5" s="227"/>
      <c r="J5" s="227"/>
      <c r="K5" s="227"/>
    </row>
    <row r="6" spans="1:12" ht="19.899999999999999" customHeight="1" x14ac:dyDescent="0.25">
      <c r="A6" s="44"/>
      <c r="B6" s="44"/>
      <c r="C6" s="44"/>
      <c r="D6" s="240" t="s">
        <v>233</v>
      </c>
      <c r="E6" s="241"/>
      <c r="F6" s="241"/>
      <c r="G6" s="241"/>
      <c r="H6" s="241"/>
      <c r="I6" s="148"/>
      <c r="J6" s="148"/>
    </row>
    <row r="7" spans="1:12" ht="15" customHeight="1" x14ac:dyDescent="0.25">
      <c r="A7" s="55"/>
      <c r="B7" s="56"/>
      <c r="C7" s="56"/>
      <c r="E7" s="56"/>
      <c r="F7" s="56"/>
      <c r="G7" s="56"/>
      <c r="H7" s="54"/>
      <c r="I7" s="54"/>
      <c r="J7" s="54"/>
      <c r="K7" s="54"/>
    </row>
    <row r="8" spans="1:12" ht="12.75" x14ac:dyDescent="0.2">
      <c r="A8" s="53"/>
      <c r="B8" s="57"/>
      <c r="C8" s="57"/>
      <c r="D8" s="8"/>
      <c r="E8" s="53"/>
      <c r="F8" s="53"/>
      <c r="G8" s="53"/>
      <c r="I8" s="53"/>
      <c r="J8" s="53"/>
      <c r="K8" s="53"/>
    </row>
    <row r="9" spans="1:12" ht="18.75" customHeight="1" x14ac:dyDescent="0.2">
      <c r="A9" s="53"/>
      <c r="B9" s="53"/>
      <c r="C9" s="53"/>
      <c r="D9" s="11" t="s">
        <v>107</v>
      </c>
    </row>
    <row r="10" spans="1:12" ht="20.25" customHeight="1" x14ac:dyDescent="0.2">
      <c r="A10" s="53"/>
      <c r="B10" s="59"/>
      <c r="C10" s="59"/>
      <c r="D10" s="78" t="s">
        <v>108</v>
      </c>
      <c r="E10" s="79"/>
      <c r="F10" s="79"/>
      <c r="G10" s="79"/>
      <c r="H10" s="79"/>
      <c r="I10" s="79"/>
      <c r="J10" s="11"/>
      <c r="K10" s="11"/>
    </row>
    <row r="11" spans="1:12" ht="12.75" hidden="1" x14ac:dyDescent="0.2">
      <c r="A11" s="53"/>
      <c r="B11" s="59"/>
      <c r="C11" s="59"/>
      <c r="D11" s="11"/>
      <c r="E11" s="11"/>
      <c r="F11" s="11"/>
      <c r="G11" s="11"/>
      <c r="H11" s="11"/>
      <c r="I11" s="11"/>
      <c r="J11" s="11"/>
      <c r="K11" s="11"/>
    </row>
    <row r="12" spans="1:12" ht="38.25" x14ac:dyDescent="0.2">
      <c r="A12" s="53"/>
      <c r="B12" s="62" t="s">
        <v>5</v>
      </c>
      <c r="C12" s="30" t="s">
        <v>6</v>
      </c>
      <c r="D12" s="80" t="s">
        <v>109</v>
      </c>
      <c r="E12" s="58"/>
      <c r="F12" s="11"/>
      <c r="G12" s="11"/>
      <c r="H12" s="11"/>
      <c r="I12" s="58"/>
      <c r="J12" s="11"/>
      <c r="K12" s="11"/>
    </row>
    <row r="13" spans="1:12" ht="15" customHeight="1" x14ac:dyDescent="0.2">
      <c r="A13" s="61">
        <v>1</v>
      </c>
      <c r="B13" s="81" t="s">
        <v>8</v>
      </c>
      <c r="C13" s="81"/>
      <c r="D13" s="82" t="s">
        <v>110</v>
      </c>
      <c r="E13" s="83"/>
      <c r="F13" s="53"/>
      <c r="G13" s="53"/>
      <c r="H13" s="53"/>
      <c r="I13" s="53"/>
      <c r="J13" s="53"/>
      <c r="K13" s="53"/>
    </row>
    <row r="14" spans="1:12" ht="15" customHeight="1" x14ac:dyDescent="0.2">
      <c r="A14" s="61">
        <v>2</v>
      </c>
      <c r="B14" s="81" t="s">
        <v>21</v>
      </c>
      <c r="C14" s="84">
        <f>140000*C28</f>
        <v>144200</v>
      </c>
      <c r="D14" s="84">
        <f>ROUND(C14,0)</f>
        <v>144200</v>
      </c>
      <c r="E14" s="83"/>
      <c r="F14" s="53"/>
      <c r="G14" s="53"/>
      <c r="H14" s="53"/>
      <c r="I14" s="53"/>
      <c r="J14" s="53"/>
      <c r="K14" s="53"/>
    </row>
    <row r="15" spans="1:12" ht="46.7" customHeight="1" x14ac:dyDescent="0.2">
      <c r="A15" s="61">
        <v>3</v>
      </c>
      <c r="B15" s="85" t="s">
        <v>22</v>
      </c>
      <c r="C15" s="86">
        <f>105000*C28</f>
        <v>108150</v>
      </c>
      <c r="D15" s="84">
        <f>ROUND(C15,0)</f>
        <v>108150</v>
      </c>
      <c r="E15" s="83"/>
      <c r="F15" s="53"/>
      <c r="G15" s="53"/>
      <c r="H15" s="53"/>
      <c r="I15" s="53"/>
      <c r="J15" s="53"/>
      <c r="K15" s="53"/>
    </row>
    <row r="16" spans="1:12" ht="43.9" customHeight="1" x14ac:dyDescent="0.2">
      <c r="A16" s="61">
        <v>4</v>
      </c>
      <c r="B16" s="85" t="s">
        <v>30</v>
      </c>
      <c r="C16" s="86">
        <f>40000*C28</f>
        <v>41200</v>
      </c>
      <c r="D16" s="84">
        <f>ROUND(C16,0)</f>
        <v>41200</v>
      </c>
      <c r="E16" s="83"/>
      <c r="F16" s="53"/>
      <c r="G16" s="53"/>
      <c r="H16" s="53"/>
      <c r="I16" s="53"/>
      <c r="J16" s="53"/>
      <c r="K16" s="53"/>
    </row>
    <row r="17" spans="1:11" ht="12.75" x14ac:dyDescent="0.2">
      <c r="A17" s="53"/>
      <c r="B17" s="20" t="s">
        <v>111</v>
      </c>
      <c r="C17" s="20"/>
      <c r="D17" s="65">
        <f>SUM(D13:D16)</f>
        <v>293550</v>
      </c>
      <c r="E17" s="53"/>
      <c r="F17" s="53"/>
      <c r="G17" s="53"/>
      <c r="H17" s="53"/>
      <c r="I17" s="53"/>
      <c r="J17" s="53"/>
      <c r="K17" s="87"/>
    </row>
    <row r="18" spans="1:11" ht="12.75" x14ac:dyDescent="0.2">
      <c r="A18" s="53"/>
      <c r="B18" s="53"/>
      <c r="C18" s="53"/>
      <c r="D18" s="53"/>
      <c r="E18" s="53"/>
      <c r="F18" s="53"/>
      <c r="G18" s="53"/>
      <c r="H18" s="53"/>
      <c r="I18" s="53"/>
      <c r="J18" s="53"/>
      <c r="K18" s="53"/>
    </row>
    <row r="19" spans="1:11" ht="24" customHeight="1" x14ac:dyDescent="0.2">
      <c r="A19" s="53"/>
      <c r="B19" s="62" t="s">
        <v>10</v>
      </c>
      <c r="C19" s="68"/>
      <c r="D19" s="69">
        <v>65</v>
      </c>
      <c r="E19" s="53"/>
      <c r="F19" s="53"/>
      <c r="G19" s="53"/>
      <c r="H19" s="53"/>
      <c r="I19" s="53"/>
      <c r="J19" s="53"/>
      <c r="K19" s="53"/>
    </row>
    <row r="20" spans="1:11" ht="12.75" x14ac:dyDescent="0.2">
      <c r="A20" s="53"/>
      <c r="B20" s="25"/>
      <c r="C20" s="25"/>
      <c r="D20" s="53"/>
      <c r="E20" s="53"/>
      <c r="F20" s="53"/>
      <c r="G20" s="53"/>
      <c r="H20" s="53"/>
      <c r="I20" s="53"/>
      <c r="J20" s="53"/>
      <c r="K20" s="53"/>
    </row>
    <row r="21" spans="1:11" ht="24" customHeight="1" x14ac:dyDescent="0.2">
      <c r="A21" s="53"/>
      <c r="B21" s="62" t="s">
        <v>11</v>
      </c>
      <c r="C21" s="68"/>
      <c r="D21" s="69">
        <v>500</v>
      </c>
      <c r="E21" s="53"/>
      <c r="F21" s="53"/>
      <c r="G21" s="53"/>
      <c r="H21" s="53"/>
      <c r="I21" s="53"/>
      <c r="J21" s="53"/>
      <c r="K21" s="53"/>
    </row>
    <row r="22" spans="1:11" ht="146.44999999999999" customHeight="1" x14ac:dyDescent="0.2">
      <c r="A22" s="53"/>
      <c r="B22" s="236" t="s">
        <v>112</v>
      </c>
      <c r="C22" s="236"/>
      <c r="D22" s="236"/>
      <c r="E22" s="53"/>
      <c r="F22" s="237" t="s">
        <v>113</v>
      </c>
      <c r="G22" s="238"/>
      <c r="H22" s="238"/>
      <c r="I22" s="238"/>
      <c r="J22" s="238"/>
      <c r="K22" s="239"/>
    </row>
    <row r="23" spans="1:11" hidden="1" x14ac:dyDescent="0.15"/>
    <row r="24" spans="1:11" hidden="1" x14ac:dyDescent="0.15"/>
    <row r="25" spans="1:11" hidden="1" x14ac:dyDescent="0.15"/>
    <row r="26" spans="1:11" hidden="1" x14ac:dyDescent="0.15"/>
    <row r="27" spans="1:11" hidden="1" x14ac:dyDescent="0.15"/>
    <row r="28" spans="1:11" ht="25.5" hidden="1" x14ac:dyDescent="0.2">
      <c r="B28" s="26" t="s">
        <v>12</v>
      </c>
      <c r="C28" s="27">
        <v>1.03</v>
      </c>
    </row>
    <row r="29" spans="1:11" hidden="1" x14ac:dyDescent="0.15"/>
    <row r="30" spans="1:11" hidden="1" x14ac:dyDescent="0.15"/>
    <row r="31" spans="1:11" hidden="1" x14ac:dyDescent="0.15"/>
  </sheetData>
  <mergeCells count="8">
    <mergeCell ref="B22:D22"/>
    <mergeCell ref="F22:K22"/>
    <mergeCell ref="D1:L1"/>
    <mergeCell ref="A2:K2"/>
    <mergeCell ref="A3:K3"/>
    <mergeCell ref="A4:K4"/>
    <mergeCell ref="A5:K5"/>
    <mergeCell ref="D6:H6"/>
  </mergeCells>
  <pageMargins left="0.75000000000000011" right="0.75000000000000011" top="1" bottom="1" header="0.5" footer="0.5"/>
  <pageSetup scale="67" fitToWidth="0" fitToHeight="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WhiteSpace="0" zoomScaleNormal="100" workbookViewId="0"/>
  </sheetViews>
  <sheetFormatPr defaultRowHeight="12" x14ac:dyDescent="0.15"/>
  <cols>
    <col min="1" max="1" width="3.5" customWidth="1"/>
    <col min="2" max="2" width="32.875" customWidth="1"/>
    <col min="3" max="3" width="0.125" customWidth="1"/>
    <col min="4" max="4" width="25.125" customWidth="1"/>
    <col min="5" max="5" width="10.5" customWidth="1"/>
    <col min="6" max="6" width="11.25" customWidth="1"/>
    <col min="7" max="7" width="11.625" customWidth="1"/>
    <col min="8" max="8" width="8.875" customWidth="1"/>
    <col min="9" max="9" width="15.125" customWidth="1"/>
    <col min="10" max="10" width="6.75" customWidth="1"/>
    <col min="11" max="11" width="13.125" customWidth="1"/>
    <col min="12" max="12" width="8.875" customWidth="1"/>
  </cols>
  <sheetData>
    <row r="1" spans="1:11" ht="12.75" x14ac:dyDescent="0.2">
      <c r="A1" s="53"/>
      <c r="B1" s="53"/>
      <c r="C1" s="53"/>
      <c r="D1" s="53"/>
      <c r="E1" s="53"/>
      <c r="F1" s="53"/>
      <c r="G1" s="53"/>
      <c r="H1" s="53"/>
      <c r="I1" s="53"/>
      <c r="J1" s="53"/>
      <c r="K1" s="53"/>
    </row>
    <row r="2" spans="1:11" ht="19.899999999999999" customHeight="1" x14ac:dyDescent="0.25">
      <c r="A2" s="227" t="s">
        <v>114</v>
      </c>
      <c r="B2" s="227"/>
      <c r="C2" s="227"/>
      <c r="D2" s="227"/>
      <c r="E2" s="227"/>
      <c r="F2" s="227"/>
      <c r="G2" s="227"/>
      <c r="H2" s="227"/>
      <c r="I2" s="227"/>
      <c r="J2" s="227"/>
      <c r="K2" s="227"/>
    </row>
    <row r="3" spans="1:11" ht="19.899999999999999" customHeight="1" x14ac:dyDescent="0.25">
      <c r="A3" s="227" t="s">
        <v>240</v>
      </c>
      <c r="B3" s="227"/>
      <c r="C3" s="227"/>
      <c r="D3" s="227"/>
      <c r="E3" s="227"/>
      <c r="F3" s="227"/>
      <c r="G3" s="227"/>
      <c r="H3" s="227"/>
      <c r="I3" s="227"/>
      <c r="J3" s="227"/>
      <c r="K3" s="227"/>
    </row>
    <row r="4" spans="1:11" ht="19.899999999999999" customHeight="1" x14ac:dyDescent="0.25">
      <c r="A4" s="227" t="s">
        <v>1</v>
      </c>
      <c r="B4" s="227"/>
      <c r="C4" s="227"/>
      <c r="D4" s="227"/>
      <c r="E4" s="227"/>
      <c r="F4" s="227"/>
      <c r="G4" s="227"/>
      <c r="H4" s="227"/>
      <c r="I4" s="227"/>
      <c r="J4" s="227"/>
      <c r="K4" s="227"/>
    </row>
    <row r="5" spans="1:11" ht="19.899999999999999" customHeight="1" x14ac:dyDescent="0.25">
      <c r="A5" s="227" t="s">
        <v>90</v>
      </c>
      <c r="B5" s="227"/>
      <c r="C5" s="227"/>
      <c r="D5" s="227"/>
      <c r="E5" s="227"/>
      <c r="F5" s="227"/>
      <c r="G5" s="227"/>
      <c r="H5" s="227"/>
      <c r="I5" s="227"/>
      <c r="J5" s="227"/>
      <c r="K5" s="227"/>
    </row>
    <row r="6" spans="1:11" ht="19.899999999999999" customHeight="1" x14ac:dyDescent="0.25">
      <c r="A6" s="44"/>
      <c r="B6" s="44"/>
      <c r="C6" s="44"/>
      <c r="D6" s="44"/>
      <c r="E6" s="44"/>
      <c r="F6" s="44"/>
      <c r="G6" s="44"/>
      <c r="H6" s="44"/>
      <c r="I6" s="44"/>
      <c r="J6" s="44"/>
      <c r="K6" s="44"/>
    </row>
    <row r="7" spans="1:11" ht="15" x14ac:dyDescent="0.25">
      <c r="A7" s="54"/>
      <c r="B7" s="55"/>
      <c r="C7" s="55"/>
      <c r="D7" s="56"/>
      <c r="E7" s="56"/>
      <c r="F7" s="56"/>
      <c r="G7" s="56"/>
      <c r="H7" s="54"/>
      <c r="I7" s="54"/>
      <c r="J7" s="54"/>
      <c r="K7" s="54"/>
    </row>
    <row r="8" spans="1:11" ht="12.75" x14ac:dyDescent="0.2">
      <c r="A8" s="53"/>
      <c r="B8" s="57"/>
      <c r="C8" s="57"/>
      <c r="D8" s="58" t="s">
        <v>241</v>
      </c>
      <c r="E8" s="53"/>
      <c r="F8" s="53"/>
      <c r="G8" s="53"/>
      <c r="H8" s="53"/>
      <c r="I8" s="53"/>
      <c r="J8" s="53"/>
      <c r="K8" s="53"/>
    </row>
    <row r="9" spans="1:11" ht="12.75" x14ac:dyDescent="0.2">
      <c r="A9" s="53"/>
      <c r="B9" s="53"/>
      <c r="C9" s="53"/>
      <c r="D9" s="11" t="s">
        <v>242</v>
      </c>
      <c r="E9" s="53"/>
      <c r="F9" s="53"/>
      <c r="G9" s="53"/>
      <c r="H9" s="53"/>
      <c r="I9" s="53"/>
      <c r="J9" s="53"/>
      <c r="K9" s="53"/>
    </row>
    <row r="10" spans="1:11" ht="12.75" x14ac:dyDescent="0.2">
      <c r="A10" s="53"/>
      <c r="B10" s="59"/>
      <c r="C10" s="59"/>
      <c r="D10" s="11"/>
      <c r="E10" s="232"/>
      <c r="F10" s="232"/>
      <c r="G10" s="232"/>
      <c r="H10" s="232"/>
      <c r="I10" s="232"/>
      <c r="J10" s="232"/>
      <c r="K10" s="232"/>
    </row>
    <row r="11" spans="1:11" ht="28.5" customHeight="1" x14ac:dyDescent="0.2">
      <c r="A11" s="53"/>
      <c r="B11" s="60" t="s">
        <v>5</v>
      </c>
      <c r="C11" s="30" t="s">
        <v>6</v>
      </c>
      <c r="D11" s="60" t="s">
        <v>7</v>
      </c>
      <c r="E11" s="11"/>
      <c r="F11" s="11"/>
      <c r="G11" s="11"/>
      <c r="H11" s="11"/>
      <c r="I11" s="11"/>
      <c r="J11" s="11"/>
      <c r="K11" s="11"/>
    </row>
    <row r="12" spans="1:11" ht="12.75" x14ac:dyDescent="0.2">
      <c r="A12" s="61">
        <v>1</v>
      </c>
      <c r="B12" s="62" t="s">
        <v>8</v>
      </c>
      <c r="C12" s="62"/>
      <c r="D12" s="63" t="s">
        <v>115</v>
      </c>
      <c r="E12" s="53"/>
      <c r="F12" s="53"/>
      <c r="G12" s="53"/>
      <c r="H12" s="53"/>
      <c r="I12" s="53"/>
      <c r="J12" s="53"/>
      <c r="K12" s="53"/>
    </row>
    <row r="13" spans="1:11" ht="12.75" x14ac:dyDescent="0.2">
      <c r="A13" s="61">
        <v>2</v>
      </c>
      <c r="B13" s="62" t="s">
        <v>21</v>
      </c>
      <c r="C13" s="63">
        <f>130000*C29</f>
        <v>133900</v>
      </c>
      <c r="D13" s="63">
        <f>ROUND(C13,0)</f>
        <v>133900</v>
      </c>
      <c r="E13" s="53"/>
      <c r="F13" s="53"/>
      <c r="G13" s="53"/>
      <c r="H13" s="53"/>
      <c r="I13" s="53"/>
      <c r="J13" s="53"/>
      <c r="K13" s="53"/>
    </row>
    <row r="14" spans="1:11" ht="41.45" customHeight="1" x14ac:dyDescent="0.2">
      <c r="A14" s="61">
        <v>3</v>
      </c>
      <c r="B14" s="64" t="s">
        <v>22</v>
      </c>
      <c r="C14" s="63">
        <f>110000*C29</f>
        <v>113300</v>
      </c>
      <c r="D14" s="63">
        <f>ROUND(C14,0)</f>
        <v>113300</v>
      </c>
      <c r="E14" s="53"/>
      <c r="F14" s="53"/>
      <c r="G14" s="53"/>
      <c r="H14" s="53"/>
      <c r="I14" s="53"/>
      <c r="J14" s="53"/>
      <c r="K14" s="53"/>
    </row>
    <row r="15" spans="1:11" ht="39" customHeight="1" x14ac:dyDescent="0.2">
      <c r="A15" s="61">
        <v>4</v>
      </c>
      <c r="B15" s="64" t="s">
        <v>30</v>
      </c>
      <c r="C15" s="63">
        <f>8943*C29</f>
        <v>9211.2900000000009</v>
      </c>
      <c r="D15" s="63">
        <f>ROUND(C15,0)</f>
        <v>9211</v>
      </c>
      <c r="E15" s="53"/>
      <c r="F15" s="53"/>
      <c r="G15" s="53"/>
      <c r="H15" s="53"/>
      <c r="I15" s="53"/>
      <c r="J15" s="53"/>
      <c r="K15" s="53"/>
    </row>
    <row r="16" spans="1:11" ht="12.75" x14ac:dyDescent="0.2">
      <c r="A16" s="53"/>
      <c r="B16" s="20" t="s">
        <v>31</v>
      </c>
      <c r="C16" s="20"/>
      <c r="D16" s="65">
        <f>SUM(D12:D15)</f>
        <v>256411</v>
      </c>
      <c r="E16" s="53"/>
      <c r="F16" s="53"/>
      <c r="G16" s="53"/>
      <c r="H16" s="53"/>
      <c r="I16" s="53"/>
      <c r="J16" s="53"/>
      <c r="K16" s="87"/>
    </row>
    <row r="17" spans="1:11" ht="12.75" x14ac:dyDescent="0.2">
      <c r="A17" s="53"/>
      <c r="B17" s="53"/>
      <c r="C17" s="53"/>
      <c r="D17" s="53"/>
      <c r="E17" s="53"/>
      <c r="F17" s="53"/>
      <c r="G17" s="53"/>
      <c r="H17" s="53"/>
      <c r="I17" s="53"/>
      <c r="J17" s="53"/>
      <c r="K17" s="53"/>
    </row>
    <row r="18" spans="1:11" ht="12.75" x14ac:dyDescent="0.2">
      <c r="A18" s="53"/>
      <c r="B18" s="62" t="s">
        <v>10</v>
      </c>
      <c r="C18" s="68"/>
      <c r="D18" s="69" t="s">
        <v>40</v>
      </c>
      <c r="E18" s="53"/>
      <c r="F18" s="53"/>
      <c r="G18" s="53"/>
      <c r="H18" s="53"/>
      <c r="I18" s="53"/>
      <c r="J18" s="53"/>
      <c r="K18" s="53"/>
    </row>
    <row r="19" spans="1:11" ht="12.75" x14ac:dyDescent="0.2">
      <c r="A19" s="53"/>
      <c r="B19" s="25"/>
      <c r="C19" s="25"/>
      <c r="D19" s="53"/>
      <c r="E19" s="53"/>
      <c r="F19" s="53"/>
      <c r="G19" s="53"/>
      <c r="H19" s="53"/>
      <c r="I19" s="53"/>
      <c r="J19" s="53"/>
      <c r="K19" s="53"/>
    </row>
    <row r="20" spans="1:11" ht="12.75" x14ac:dyDescent="0.2">
      <c r="A20" s="53"/>
      <c r="B20" s="62" t="s">
        <v>11</v>
      </c>
      <c r="C20" s="68"/>
      <c r="D20" s="69" t="s">
        <v>40</v>
      </c>
      <c r="E20" s="53"/>
      <c r="F20" s="53"/>
      <c r="G20" s="53"/>
      <c r="H20" s="53"/>
      <c r="I20" s="53"/>
      <c r="J20" s="53"/>
      <c r="K20" s="53"/>
    </row>
    <row r="21" spans="1:11" ht="12.75" x14ac:dyDescent="0.2">
      <c r="A21" s="53"/>
      <c r="B21" s="25"/>
      <c r="C21" s="25"/>
      <c r="D21" s="53"/>
      <c r="E21" s="53"/>
      <c r="F21" s="53"/>
      <c r="G21" s="53"/>
      <c r="H21" s="53"/>
      <c r="I21" s="53"/>
      <c r="J21" s="53"/>
      <c r="K21" s="53"/>
    </row>
    <row r="22" spans="1:11" ht="19.899999999999999" customHeight="1" x14ac:dyDescent="0.2">
      <c r="A22" s="53"/>
      <c r="B22" s="243" t="s">
        <v>116</v>
      </c>
      <c r="C22" s="243"/>
      <c r="D22" s="243"/>
      <c r="E22" s="243"/>
      <c r="F22" s="53"/>
      <c r="G22" s="53"/>
      <c r="H22" s="53"/>
      <c r="I22" s="53"/>
      <c r="J22" s="53"/>
      <c r="K22" s="53"/>
    </row>
    <row r="23" spans="1:11" ht="19.899999999999999" customHeight="1" x14ac:dyDescent="0.2">
      <c r="A23" s="53"/>
      <c r="B23" s="242" t="s">
        <v>117</v>
      </c>
      <c r="C23" s="242"/>
      <c r="D23" s="242"/>
      <c r="E23" s="242"/>
      <c r="F23" s="53"/>
      <c r="G23" s="53"/>
      <c r="H23" s="53"/>
      <c r="I23" s="53"/>
      <c r="J23" s="53"/>
      <c r="K23" s="53"/>
    </row>
    <row r="24" spans="1:11" ht="15.6" customHeight="1" x14ac:dyDescent="0.2">
      <c r="A24" s="53"/>
      <c r="B24" s="88" t="s">
        <v>118</v>
      </c>
      <c r="C24" s="89"/>
      <c r="D24" s="89"/>
      <c r="E24" s="90"/>
      <c r="F24" s="53"/>
      <c r="G24" s="53"/>
      <c r="H24" s="53"/>
      <c r="I24" s="53"/>
      <c r="J24" s="53"/>
      <c r="K24" s="53"/>
    </row>
    <row r="25" spans="1:11" ht="15.6" customHeight="1" x14ac:dyDescent="0.2">
      <c r="B25" s="91" t="s">
        <v>119</v>
      </c>
      <c r="C25" s="92"/>
      <c r="D25" s="92"/>
      <c r="E25" s="93"/>
    </row>
    <row r="26" spans="1:11" ht="16.149999999999999" customHeight="1" x14ac:dyDescent="0.2">
      <c r="B26" s="91" t="s">
        <v>120</v>
      </c>
      <c r="C26" s="92"/>
      <c r="D26" s="92"/>
      <c r="E26" s="93"/>
    </row>
    <row r="27" spans="1:11" ht="15" customHeight="1" x14ac:dyDescent="0.2">
      <c r="B27" s="94" t="s">
        <v>121</v>
      </c>
      <c r="C27" s="95"/>
      <c r="D27" s="95"/>
      <c r="E27" s="96"/>
    </row>
    <row r="28" spans="1:11" ht="12.75" hidden="1" x14ac:dyDescent="0.2">
      <c r="B28" s="92"/>
      <c r="C28" s="92"/>
      <c r="D28" s="92"/>
      <c r="E28" s="92"/>
    </row>
    <row r="29" spans="1:11" ht="25.5" hidden="1" x14ac:dyDescent="0.2">
      <c r="B29" s="26" t="s">
        <v>12</v>
      </c>
      <c r="C29" s="27">
        <v>1.03</v>
      </c>
      <c r="D29" s="92"/>
      <c r="E29" s="92"/>
    </row>
    <row r="30" spans="1:11" hidden="1" x14ac:dyDescent="0.15"/>
    <row r="31" spans="1:11" hidden="1" x14ac:dyDescent="0.15"/>
  </sheetData>
  <mergeCells count="7">
    <mergeCell ref="B23:E23"/>
    <mergeCell ref="A2:K2"/>
    <mergeCell ref="A3:K3"/>
    <mergeCell ref="A4:K4"/>
    <mergeCell ref="A5:K5"/>
    <mergeCell ref="E10:K10"/>
    <mergeCell ref="B22:E22"/>
  </mergeCells>
  <pageMargins left="0.25" right="0.25" top="0.75" bottom="0.75" header="0.3" footer="0.3"/>
  <pageSetup scale="80" fitToWidth="0" fitToHeight="0" orientation="landscape" r:id="rId1"/>
  <headerFooter>
    <oddFooter>&amp;C&amp;8 2014 PCH PEDIATRIC CADV LIVER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F16" sqref="F16"/>
    </sheetView>
  </sheetViews>
  <sheetFormatPr defaultRowHeight="12" x14ac:dyDescent="0.15"/>
  <cols>
    <col min="1" max="1" width="3" customWidth="1"/>
    <col min="2" max="2" width="36.375" customWidth="1"/>
    <col min="3" max="3" width="22.75" hidden="1" customWidth="1"/>
    <col min="4" max="4" width="21.125" bestFit="1" customWidth="1"/>
    <col min="5" max="8" width="8.875" customWidth="1"/>
    <col min="9" max="9" width="11.75" customWidth="1"/>
    <col min="10" max="10" width="8.875" customWidth="1"/>
  </cols>
  <sheetData>
    <row r="1" spans="1:11" ht="18" customHeight="1" x14ac:dyDescent="0.15"/>
    <row r="2" spans="1:11" ht="19.899999999999999" customHeight="1" x14ac:dyDescent="0.25">
      <c r="A2" s="244" t="s">
        <v>122</v>
      </c>
      <c r="B2" s="244"/>
      <c r="C2" s="244"/>
      <c r="D2" s="244"/>
      <c r="E2" s="244"/>
      <c r="F2" s="244"/>
      <c r="G2" s="244"/>
      <c r="H2" s="244"/>
      <c r="I2" s="244"/>
      <c r="J2" s="244"/>
      <c r="K2" s="244"/>
    </row>
    <row r="3" spans="1:11" ht="19.899999999999999" customHeight="1" x14ac:dyDescent="0.25">
      <c r="A3" s="244" t="s">
        <v>123</v>
      </c>
      <c r="B3" s="244"/>
      <c r="C3" s="244"/>
      <c r="D3" s="244"/>
      <c r="E3" s="244"/>
      <c r="F3" s="244"/>
      <c r="G3" s="244"/>
      <c r="H3" s="244"/>
      <c r="I3" s="244"/>
      <c r="J3" s="244"/>
      <c r="K3" s="244"/>
    </row>
    <row r="4" spans="1:11" ht="19.899999999999999" customHeight="1" x14ac:dyDescent="0.25">
      <c r="A4" s="244" t="s">
        <v>1</v>
      </c>
      <c r="B4" s="244"/>
      <c r="C4" s="244"/>
      <c r="D4" s="244"/>
      <c r="E4" s="244"/>
      <c r="F4" s="244"/>
      <c r="G4" s="244"/>
      <c r="H4" s="244"/>
      <c r="I4" s="244"/>
      <c r="J4" s="244"/>
      <c r="K4" s="244"/>
    </row>
    <row r="5" spans="1:11" ht="19.899999999999999" customHeight="1" x14ac:dyDescent="0.25">
      <c r="A5" s="244" t="s">
        <v>124</v>
      </c>
      <c r="B5" s="244"/>
      <c r="C5" s="244"/>
      <c r="D5" s="244"/>
      <c r="E5" s="244"/>
      <c r="F5" s="244"/>
      <c r="G5" s="244"/>
      <c r="H5" s="244"/>
      <c r="I5" s="244"/>
      <c r="J5" s="244"/>
      <c r="K5" s="244"/>
    </row>
    <row r="6" spans="1:11" ht="12.75" x14ac:dyDescent="0.2">
      <c r="A6" s="97"/>
      <c r="B6" s="97"/>
      <c r="C6" s="97"/>
      <c r="D6" s="97"/>
      <c r="E6" s="97"/>
      <c r="F6" s="97"/>
      <c r="G6" s="97"/>
      <c r="H6" s="97"/>
      <c r="I6" s="97"/>
      <c r="J6" s="97"/>
      <c r="K6" s="97"/>
    </row>
    <row r="7" spans="1:11" ht="12.75" x14ac:dyDescent="0.2">
      <c r="A7" s="98"/>
      <c r="B7" s="99"/>
      <c r="C7" s="99"/>
      <c r="D7" s="100"/>
      <c r="E7" s="100"/>
      <c r="F7" s="100"/>
      <c r="G7" s="100"/>
      <c r="H7" s="98"/>
      <c r="I7" s="98"/>
      <c r="J7" s="98"/>
      <c r="K7" s="98"/>
    </row>
    <row r="8" spans="1:11" ht="12.75" x14ac:dyDescent="0.2">
      <c r="A8" s="98"/>
      <c r="B8" s="99"/>
      <c r="C8" s="99"/>
      <c r="D8" s="98"/>
      <c r="E8" s="98"/>
      <c r="F8" s="98"/>
      <c r="G8" s="98"/>
      <c r="H8" s="98"/>
      <c r="I8" s="98"/>
      <c r="J8" s="98"/>
      <c r="K8" s="98"/>
    </row>
    <row r="9" spans="1:11" ht="12.75" x14ac:dyDescent="0.2">
      <c r="A9" s="98"/>
      <c r="B9" s="99"/>
      <c r="C9" s="99"/>
      <c r="D9" s="98"/>
      <c r="E9" s="98"/>
      <c r="F9" s="98"/>
      <c r="G9" s="98"/>
      <c r="H9" s="98"/>
      <c r="I9" s="98"/>
      <c r="J9" s="98"/>
      <c r="K9" s="98"/>
    </row>
    <row r="10" spans="1:11" ht="12.75" x14ac:dyDescent="0.2">
      <c r="A10" s="98"/>
      <c r="B10" s="99"/>
      <c r="C10" s="99"/>
      <c r="D10" s="98"/>
      <c r="E10" s="98"/>
      <c r="F10" s="98"/>
      <c r="G10" s="98"/>
      <c r="H10" s="98"/>
      <c r="I10" s="98"/>
      <c r="J10" s="98"/>
      <c r="K10" s="98"/>
    </row>
    <row r="11" spans="1:11" ht="12.75" x14ac:dyDescent="0.2">
      <c r="A11" s="98"/>
      <c r="B11" s="99"/>
      <c r="C11" s="99"/>
      <c r="D11" s="101"/>
      <c r="E11" s="98"/>
      <c r="F11" s="98"/>
      <c r="G11" s="98"/>
      <c r="H11" s="98"/>
      <c r="I11" s="98"/>
      <c r="J11" s="98"/>
      <c r="K11" s="98"/>
    </row>
    <row r="12" spans="1:11" ht="12.75" x14ac:dyDescent="0.2">
      <c r="A12" s="98"/>
      <c r="B12" s="98"/>
      <c r="C12" s="98"/>
      <c r="D12" s="97" t="s">
        <v>95</v>
      </c>
      <c r="E12" s="98"/>
      <c r="F12" s="98"/>
      <c r="G12" s="98"/>
      <c r="H12" s="98"/>
      <c r="I12" s="98"/>
      <c r="J12" s="98"/>
      <c r="K12" s="98"/>
    </row>
    <row r="13" spans="1:11" ht="12.75" x14ac:dyDescent="0.2">
      <c r="A13" s="98"/>
      <c r="B13" s="102" t="s">
        <v>45</v>
      </c>
      <c r="C13" s="102"/>
      <c r="D13" s="97"/>
      <c r="E13" s="97"/>
      <c r="F13" s="97"/>
      <c r="G13" s="97"/>
      <c r="H13" s="97"/>
      <c r="I13" s="97"/>
      <c r="J13" s="97"/>
      <c r="K13" s="97"/>
    </row>
    <row r="14" spans="1:11" s="1" customFormat="1" ht="25.5" x14ac:dyDescent="0.2">
      <c r="A14" s="98"/>
      <c r="B14" s="165" t="s">
        <v>5</v>
      </c>
      <c r="C14" s="30" t="s">
        <v>6</v>
      </c>
      <c r="D14" s="165" t="s">
        <v>7</v>
      </c>
      <c r="E14" s="163"/>
      <c r="F14" s="163"/>
      <c r="G14" s="163"/>
      <c r="H14" s="163"/>
      <c r="I14" s="163"/>
      <c r="J14" s="163"/>
      <c r="K14" s="163"/>
    </row>
    <row r="15" spans="1:11" s="1" customFormat="1" ht="12.75" x14ac:dyDescent="0.2">
      <c r="A15" s="103">
        <v>1</v>
      </c>
      <c r="B15" s="166" t="s">
        <v>8</v>
      </c>
      <c r="C15" s="167">
        <f>9163*C27</f>
        <v>9437.89</v>
      </c>
      <c r="D15" s="63">
        <f>ROUND(C15,0)</f>
        <v>9438</v>
      </c>
      <c r="E15" s="168"/>
      <c r="F15" s="98"/>
      <c r="G15" s="98"/>
      <c r="H15" s="98"/>
      <c r="I15" s="98"/>
      <c r="J15" s="98"/>
      <c r="K15" s="98"/>
    </row>
    <row r="16" spans="1:11" s="1" customFormat="1" ht="12.75" x14ac:dyDescent="0.2">
      <c r="A16" s="103">
        <v>2</v>
      </c>
      <c r="B16" s="166" t="s">
        <v>37</v>
      </c>
      <c r="C16" s="167">
        <f>10780*C27</f>
        <v>11103.4</v>
      </c>
      <c r="D16" s="63">
        <f>ROUND(C16,0)</f>
        <v>11103</v>
      </c>
      <c r="E16" s="168"/>
      <c r="F16" s="98"/>
      <c r="G16" s="98"/>
      <c r="H16" s="98"/>
      <c r="I16" s="98"/>
      <c r="J16" s="98"/>
      <c r="K16" s="98"/>
    </row>
    <row r="17" spans="1:11" s="1" customFormat="1" ht="12.75" x14ac:dyDescent="0.2">
      <c r="A17" s="103">
        <v>3</v>
      </c>
      <c r="B17" s="166" t="s">
        <v>21</v>
      </c>
      <c r="C17" s="167">
        <f>80848*C27</f>
        <v>83273.440000000002</v>
      </c>
      <c r="D17" s="63">
        <f>ROUND(C17,0)</f>
        <v>83273</v>
      </c>
      <c r="E17" s="168"/>
      <c r="F17" s="98"/>
      <c r="G17" s="98"/>
      <c r="H17" s="98"/>
      <c r="I17" s="98"/>
      <c r="J17" s="98"/>
      <c r="K17" s="98"/>
    </row>
    <row r="18" spans="1:11" s="1" customFormat="1" ht="48" customHeight="1" x14ac:dyDescent="0.2">
      <c r="A18" s="103">
        <v>4</v>
      </c>
      <c r="B18" s="169" t="s">
        <v>22</v>
      </c>
      <c r="C18" s="167">
        <f>20482*C27</f>
        <v>21096.46</v>
      </c>
      <c r="D18" s="63">
        <f>ROUND(C18,0)</f>
        <v>21096</v>
      </c>
      <c r="E18" s="168"/>
      <c r="F18" s="98"/>
      <c r="G18" s="98"/>
      <c r="H18" s="98"/>
      <c r="I18" s="98"/>
      <c r="J18" s="98"/>
      <c r="K18" s="98"/>
    </row>
    <row r="19" spans="1:11" s="1" customFormat="1" ht="36" customHeight="1" x14ac:dyDescent="0.2">
      <c r="A19" s="103">
        <v>5</v>
      </c>
      <c r="B19" s="169" t="s">
        <v>30</v>
      </c>
      <c r="C19" s="167">
        <f>7545*C27</f>
        <v>7771.35</v>
      </c>
      <c r="D19" s="63">
        <f>ROUND(C19,0)</f>
        <v>7771</v>
      </c>
      <c r="E19" s="168"/>
      <c r="F19" s="98"/>
      <c r="G19" s="98"/>
      <c r="H19" s="98"/>
      <c r="I19" s="98"/>
      <c r="J19" s="98"/>
      <c r="K19" s="98"/>
    </row>
    <row r="20" spans="1:11" s="1" customFormat="1" ht="12.75" x14ac:dyDescent="0.2">
      <c r="A20" s="98"/>
      <c r="B20" s="170" t="s">
        <v>125</v>
      </c>
      <c r="C20" s="170"/>
      <c r="D20" s="171">
        <f>SUM(D15:D19)</f>
        <v>132681</v>
      </c>
      <c r="E20" s="98"/>
      <c r="F20" s="98"/>
      <c r="G20" s="98"/>
      <c r="H20" s="98"/>
      <c r="I20" s="98"/>
      <c r="J20" s="98"/>
      <c r="K20" s="172"/>
    </row>
    <row r="21" spans="1:11" ht="12.75" hidden="1" x14ac:dyDescent="0.2">
      <c r="A21" s="98"/>
      <c r="B21" s="98"/>
      <c r="C21" s="98"/>
      <c r="D21" s="98"/>
      <c r="E21" s="98"/>
      <c r="F21" s="98"/>
      <c r="G21" s="98"/>
      <c r="H21" s="98"/>
      <c r="I21" s="98"/>
      <c r="J21" s="98"/>
      <c r="K21" s="98"/>
    </row>
    <row r="22" spans="1:11" ht="12.75" hidden="1" x14ac:dyDescent="0.2">
      <c r="A22" s="98"/>
      <c r="B22" s="104"/>
      <c r="C22" s="104"/>
      <c r="D22" s="98"/>
      <c r="E22" s="98"/>
      <c r="F22" s="98"/>
      <c r="G22" s="98"/>
      <c r="H22" s="98"/>
      <c r="I22" s="98"/>
      <c r="J22" s="98"/>
      <c r="K22" s="98"/>
    </row>
    <row r="23" spans="1:11" hidden="1" x14ac:dyDescent="0.15"/>
    <row r="24" spans="1:11" hidden="1" x14ac:dyDescent="0.15"/>
    <row r="25" spans="1:11" hidden="1" x14ac:dyDescent="0.15"/>
    <row r="26" spans="1:11" hidden="1" x14ac:dyDescent="0.15"/>
    <row r="27" spans="1:11" ht="25.5" hidden="1" x14ac:dyDescent="0.2">
      <c r="B27" s="26" t="s">
        <v>12</v>
      </c>
      <c r="C27" s="27">
        <v>1.03</v>
      </c>
    </row>
    <row r="28" spans="1:11" hidden="1" x14ac:dyDescent="0.15"/>
    <row r="29" spans="1:11" hidden="1" x14ac:dyDescent="0.15"/>
    <row r="30" spans="1:11" hidden="1" x14ac:dyDescent="0.15"/>
  </sheetData>
  <mergeCells count="4">
    <mergeCell ref="A2:K2"/>
    <mergeCell ref="A3:K3"/>
    <mergeCell ref="A4:K4"/>
    <mergeCell ref="A5:K5"/>
  </mergeCells>
  <pageMargins left="0.75000000000000011" right="0.75000000000000011" top="1" bottom="1" header="0.5" footer="0.5"/>
  <pageSetup scale="80" fitToWidth="0" fitToHeight="0" orientation="landscape" r:id="rId1"/>
  <headerFooter alignWithMargins="0">
    <oddFooter>&amp;C&amp;8 2014 SCTHLTH CARE-SHEA BMT AUTO</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zoomScaleNormal="100" workbookViewId="0">
      <selection activeCell="A10" sqref="A10"/>
    </sheetView>
  </sheetViews>
  <sheetFormatPr defaultRowHeight="12" x14ac:dyDescent="0.15"/>
  <cols>
    <col min="1" max="1" width="3.375" customWidth="1"/>
    <col min="2" max="2" width="38.5" bestFit="1" customWidth="1"/>
    <col min="3" max="3" width="21.625" hidden="1" customWidth="1"/>
    <col min="4" max="4" width="17.5" customWidth="1"/>
    <col min="5" max="8" width="8.875" customWidth="1"/>
    <col min="9" max="9" width="11.25" customWidth="1"/>
    <col min="10" max="10" width="6.375" customWidth="1"/>
    <col min="11" max="11" width="8.875" customWidth="1"/>
  </cols>
  <sheetData>
    <row r="2" spans="1:11" s="3" customFormat="1" ht="19.899999999999999" customHeight="1" x14ac:dyDescent="0.25">
      <c r="A2" s="244" t="s">
        <v>122</v>
      </c>
      <c r="B2" s="244"/>
      <c r="C2" s="244"/>
      <c r="D2" s="244"/>
      <c r="E2" s="244"/>
      <c r="F2" s="244"/>
      <c r="G2" s="244"/>
      <c r="H2" s="244"/>
      <c r="I2" s="244"/>
      <c r="J2" s="244"/>
      <c r="K2" s="244"/>
    </row>
    <row r="3" spans="1:11" s="3" customFormat="1" ht="19.899999999999999" customHeight="1" x14ac:dyDescent="0.25">
      <c r="A3" s="244" t="s">
        <v>126</v>
      </c>
      <c r="B3" s="244"/>
      <c r="C3" s="244"/>
      <c r="D3" s="244"/>
      <c r="E3" s="244"/>
      <c r="F3" s="244"/>
      <c r="G3" s="244"/>
      <c r="H3" s="244"/>
      <c r="I3" s="244"/>
      <c r="J3" s="244"/>
      <c r="K3" s="244"/>
    </row>
    <row r="4" spans="1:11" s="3" customFormat="1" ht="19.899999999999999" customHeight="1" x14ac:dyDescent="0.25">
      <c r="A4" s="244" t="s">
        <v>1</v>
      </c>
      <c r="B4" s="244"/>
      <c r="C4" s="244"/>
      <c r="D4" s="244"/>
      <c r="E4" s="244"/>
      <c r="F4" s="244"/>
      <c r="G4" s="244"/>
      <c r="H4" s="244"/>
      <c r="I4" s="244"/>
      <c r="J4" s="244"/>
      <c r="K4" s="244"/>
    </row>
    <row r="5" spans="1:11" s="3" customFormat="1" ht="19.899999999999999" customHeight="1" x14ac:dyDescent="0.25">
      <c r="A5" s="244" t="s">
        <v>124</v>
      </c>
      <c r="B5" s="244"/>
      <c r="C5" s="244"/>
      <c r="D5" s="244"/>
      <c r="E5" s="244"/>
      <c r="F5" s="244"/>
      <c r="G5" s="244"/>
      <c r="H5" s="244"/>
      <c r="I5" s="244"/>
      <c r="J5" s="244"/>
      <c r="K5" s="244"/>
    </row>
    <row r="6" spans="1:11" ht="19.899999999999999" customHeight="1" x14ac:dyDescent="0.25">
      <c r="A6" s="200"/>
      <c r="B6" s="200"/>
      <c r="C6" s="200"/>
      <c r="D6" s="200"/>
      <c r="E6" s="200"/>
      <c r="F6" s="200"/>
      <c r="G6" s="200"/>
      <c r="H6" s="200"/>
      <c r="I6" s="200"/>
      <c r="J6" s="200"/>
      <c r="K6" s="200"/>
    </row>
    <row r="7" spans="1:11" ht="12.75" x14ac:dyDescent="0.2">
      <c r="A7" s="106"/>
      <c r="B7" s="107"/>
      <c r="C7" s="107"/>
      <c r="D7" s="108"/>
      <c r="E7" s="108"/>
      <c r="F7" s="108"/>
      <c r="G7" s="108"/>
      <c r="H7" s="106"/>
      <c r="I7" s="106"/>
      <c r="J7" s="106"/>
      <c r="K7" s="106"/>
    </row>
    <row r="8" spans="1:11" ht="12.75" x14ac:dyDescent="0.2">
      <c r="A8" s="106"/>
      <c r="B8" s="107"/>
      <c r="C8" s="107"/>
      <c r="D8" s="106"/>
      <c r="E8" s="106"/>
      <c r="F8" s="106"/>
      <c r="G8" s="106"/>
      <c r="H8" s="106"/>
      <c r="I8" s="106"/>
      <c r="J8" s="106"/>
      <c r="K8" s="106"/>
    </row>
    <row r="9" spans="1:11" ht="12.75" x14ac:dyDescent="0.2">
      <c r="A9" s="106"/>
      <c r="B9" s="107"/>
      <c r="C9" s="107"/>
      <c r="D9" s="106"/>
      <c r="E9" s="106"/>
      <c r="F9" s="106"/>
      <c r="G9" s="106"/>
      <c r="H9" s="106"/>
      <c r="I9" s="106"/>
      <c r="J9" s="106"/>
      <c r="K9" s="106"/>
    </row>
    <row r="10" spans="1:11" ht="12.75" x14ac:dyDescent="0.2">
      <c r="A10" s="106"/>
      <c r="B10" s="107"/>
      <c r="C10" s="107"/>
      <c r="D10" s="106"/>
      <c r="E10" s="106"/>
      <c r="F10" s="106"/>
      <c r="G10" s="106"/>
      <c r="H10" s="106"/>
      <c r="I10" s="106"/>
      <c r="J10" s="106"/>
      <c r="K10" s="106"/>
    </row>
    <row r="11" spans="1:11" ht="12.75" x14ac:dyDescent="0.2">
      <c r="A11" s="106"/>
      <c r="B11" s="107"/>
      <c r="C11" s="107"/>
      <c r="D11" s="109"/>
      <c r="E11" s="106"/>
      <c r="F11" s="106"/>
      <c r="G11" s="106"/>
      <c r="H11" s="106"/>
      <c r="I11" s="106"/>
      <c r="J11" s="106"/>
      <c r="K11" s="106"/>
    </row>
    <row r="12" spans="1:11" ht="12.75" x14ac:dyDescent="0.2">
      <c r="A12" s="106"/>
      <c r="B12" s="106"/>
      <c r="C12" s="106"/>
      <c r="D12" s="105" t="s">
        <v>127</v>
      </c>
      <c r="E12" s="106"/>
      <c r="F12" s="106"/>
      <c r="G12" s="106"/>
      <c r="H12" s="106"/>
      <c r="I12" s="106"/>
      <c r="J12" s="106"/>
      <c r="K12" s="106"/>
    </row>
    <row r="13" spans="1:11" ht="12.75" x14ac:dyDescent="0.2">
      <c r="A13" s="106"/>
      <c r="B13" s="110"/>
      <c r="C13" s="110"/>
      <c r="D13" s="105" t="s">
        <v>128</v>
      </c>
      <c r="E13" s="105"/>
      <c r="F13" s="105"/>
      <c r="G13" s="105"/>
      <c r="H13" s="105"/>
      <c r="I13" s="105"/>
      <c r="J13" s="105"/>
      <c r="K13" s="105"/>
    </row>
    <row r="14" spans="1:11" s="1" customFormat="1" ht="25.5" x14ac:dyDescent="0.2">
      <c r="A14" s="106"/>
      <c r="B14" s="178" t="s">
        <v>5</v>
      </c>
      <c r="C14" s="30" t="s">
        <v>6</v>
      </c>
      <c r="D14" s="178" t="s">
        <v>7</v>
      </c>
      <c r="E14" s="105"/>
      <c r="F14" s="105"/>
      <c r="G14" s="105"/>
      <c r="H14" s="105"/>
      <c r="I14" s="105"/>
      <c r="J14" s="105"/>
      <c r="K14" s="105"/>
    </row>
    <row r="15" spans="1:11" s="1" customFormat="1" ht="13.9" customHeight="1" x14ac:dyDescent="0.2">
      <c r="A15" s="179">
        <v>1</v>
      </c>
      <c r="B15" s="175" t="s">
        <v>8</v>
      </c>
      <c r="C15" s="153">
        <f>11492*C28</f>
        <v>11836.76</v>
      </c>
      <c r="D15" s="63">
        <f t="shared" ref="D15:D20" si="0">ROUND(C15,0)</f>
        <v>11837</v>
      </c>
      <c r="E15" s="180"/>
      <c r="F15" s="106"/>
      <c r="G15" s="106"/>
      <c r="H15" s="106"/>
      <c r="I15" s="106"/>
      <c r="J15" s="106"/>
      <c r="K15" s="106"/>
    </row>
    <row r="16" spans="1:11" s="1" customFormat="1" ht="13.9" customHeight="1" x14ac:dyDescent="0.2">
      <c r="A16" s="179">
        <v>2</v>
      </c>
      <c r="B16" s="175" t="s">
        <v>98</v>
      </c>
      <c r="C16" s="153">
        <f>5034*C28</f>
        <v>5185.0200000000004</v>
      </c>
      <c r="D16" s="63">
        <f t="shared" si="0"/>
        <v>5185</v>
      </c>
      <c r="E16" s="180"/>
      <c r="F16" s="106"/>
      <c r="G16" s="106"/>
      <c r="H16" s="106"/>
      <c r="I16" s="106"/>
      <c r="J16" s="106"/>
      <c r="K16" s="106"/>
    </row>
    <row r="17" spans="1:11" s="1" customFormat="1" ht="13.9" customHeight="1" x14ac:dyDescent="0.2">
      <c r="A17" s="179">
        <v>3</v>
      </c>
      <c r="B17" s="176" t="s">
        <v>129</v>
      </c>
      <c r="C17" s="153">
        <f>14530*C28</f>
        <v>14965.9</v>
      </c>
      <c r="D17" s="63">
        <f t="shared" si="0"/>
        <v>14966</v>
      </c>
      <c r="E17" s="180"/>
      <c r="F17" s="106"/>
      <c r="G17" s="106"/>
      <c r="H17" s="106"/>
      <c r="I17" s="106"/>
      <c r="J17" s="106"/>
      <c r="K17" s="106"/>
    </row>
    <row r="18" spans="1:11" s="1" customFormat="1" ht="13.9" customHeight="1" x14ac:dyDescent="0.2">
      <c r="A18" s="179">
        <v>4</v>
      </c>
      <c r="B18" s="175" t="s">
        <v>21</v>
      </c>
      <c r="C18" s="153">
        <f>76612*C28</f>
        <v>78910.36</v>
      </c>
      <c r="D18" s="63">
        <f t="shared" si="0"/>
        <v>78910</v>
      </c>
      <c r="E18" s="180"/>
      <c r="F18" s="106"/>
      <c r="G18" s="106"/>
      <c r="H18" s="106"/>
      <c r="I18" s="106"/>
      <c r="J18" s="106"/>
      <c r="K18" s="106"/>
    </row>
    <row r="19" spans="1:11" s="1" customFormat="1" ht="31.9" customHeight="1" x14ac:dyDescent="0.2">
      <c r="A19" s="179">
        <v>5</v>
      </c>
      <c r="B19" s="177" t="s">
        <v>22</v>
      </c>
      <c r="C19" s="153">
        <f>27361*C28</f>
        <v>28181.83</v>
      </c>
      <c r="D19" s="63">
        <f t="shared" si="0"/>
        <v>28182</v>
      </c>
      <c r="E19" s="180"/>
      <c r="F19" s="106"/>
      <c r="G19" s="106"/>
      <c r="H19" s="106"/>
      <c r="I19" s="106"/>
      <c r="J19" s="106"/>
      <c r="K19" s="106"/>
    </row>
    <row r="20" spans="1:11" s="1" customFormat="1" ht="33.75" customHeight="1" x14ac:dyDescent="0.2">
      <c r="A20" s="179">
        <v>6</v>
      </c>
      <c r="B20" s="177" t="s">
        <v>30</v>
      </c>
      <c r="C20" s="153">
        <f>10945*C28</f>
        <v>11273.35</v>
      </c>
      <c r="D20" s="63">
        <f t="shared" si="0"/>
        <v>11273</v>
      </c>
      <c r="E20" s="180"/>
      <c r="F20" s="106"/>
      <c r="G20" s="106"/>
      <c r="H20" s="106"/>
      <c r="I20" s="106"/>
      <c r="J20" s="106"/>
      <c r="K20" s="106"/>
    </row>
    <row r="21" spans="1:11" s="46" customFormat="1" ht="12.75" x14ac:dyDescent="0.2">
      <c r="A21" s="106"/>
      <c r="B21" s="173" t="s">
        <v>130</v>
      </c>
      <c r="C21" s="173"/>
      <c r="D21" s="174">
        <f>SUM(D15:D20)</f>
        <v>150353</v>
      </c>
      <c r="E21" s="111"/>
      <c r="F21" s="111"/>
      <c r="G21" s="111"/>
      <c r="H21" s="111"/>
      <c r="I21" s="111"/>
      <c r="J21" s="111"/>
      <c r="K21" s="112"/>
    </row>
    <row r="22" spans="1:11" ht="12.75" hidden="1" x14ac:dyDescent="0.2">
      <c r="A22" s="1"/>
      <c r="B22" s="1"/>
      <c r="C22" s="1"/>
      <c r="D22" s="1"/>
    </row>
    <row r="23" spans="1:11" ht="12.75" hidden="1" x14ac:dyDescent="0.2">
      <c r="A23" s="1"/>
      <c r="B23" s="1"/>
      <c r="C23" s="1"/>
      <c r="D23" s="1"/>
    </row>
    <row r="24" spans="1:11" ht="12.75" hidden="1" x14ac:dyDescent="0.2">
      <c r="A24" s="1"/>
      <c r="B24" s="1"/>
      <c r="C24" s="1"/>
      <c r="D24" s="1"/>
    </row>
    <row r="25" spans="1:11" ht="12.75" hidden="1" x14ac:dyDescent="0.2">
      <c r="A25" s="1"/>
      <c r="B25" s="1"/>
      <c r="C25" s="1"/>
      <c r="D25" s="1"/>
    </row>
    <row r="26" spans="1:11" ht="12.75" hidden="1" x14ac:dyDescent="0.2">
      <c r="A26" s="1"/>
      <c r="B26" s="1"/>
      <c r="C26" s="1"/>
      <c r="D26" s="1"/>
    </row>
    <row r="27" spans="1:11" ht="12.75" hidden="1" x14ac:dyDescent="0.2">
      <c r="A27" s="1"/>
      <c r="B27" s="1"/>
      <c r="C27" s="1"/>
      <c r="D27" s="1"/>
    </row>
    <row r="28" spans="1:11" ht="25.5" hidden="1" x14ac:dyDescent="0.2">
      <c r="A28" s="1"/>
      <c r="B28" s="26" t="s">
        <v>12</v>
      </c>
      <c r="C28" s="27">
        <v>1.03</v>
      </c>
      <c r="D28" s="1"/>
    </row>
    <row r="29" spans="1:11" ht="17.25" hidden="1" customHeight="1" x14ac:dyDescent="0.2">
      <c r="A29" s="1"/>
      <c r="B29" s="1"/>
      <c r="C29" s="1"/>
      <c r="D29" s="1"/>
    </row>
    <row r="30" spans="1:11" ht="12.75" hidden="1" x14ac:dyDescent="0.2">
      <c r="A30" s="1"/>
      <c r="B30" s="1"/>
      <c r="C30" s="1"/>
      <c r="D30" s="1"/>
    </row>
    <row r="31" spans="1:11" ht="12.75" hidden="1" x14ac:dyDescent="0.2">
      <c r="A31" s="1"/>
      <c r="B31" s="1"/>
      <c r="C31" s="1"/>
      <c r="D31" s="1"/>
    </row>
    <row r="32" spans="1:11" ht="12.75" x14ac:dyDescent="0.2">
      <c r="A32" s="1"/>
      <c r="B32" s="1"/>
      <c r="C32" s="1"/>
      <c r="D32" s="1"/>
    </row>
  </sheetData>
  <mergeCells count="4">
    <mergeCell ref="A2:K2"/>
    <mergeCell ref="A3:K3"/>
    <mergeCell ref="A4:K4"/>
    <mergeCell ref="A5:K5"/>
  </mergeCells>
  <pageMargins left="0.75000000000000011" right="0.75000000000000011" top="1" bottom="1" header="0.5" footer="0.5"/>
  <pageSetup scale="86" fitToWidth="0" fitToHeight="0" orientation="landscape" r:id="rId1"/>
  <headerFooter alignWithMargins="0">
    <oddFooter>&amp;C&amp;8 2014 SCTHLTH CARE-SHEA BMT ALO RELATED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3"/>
  <sheetViews>
    <sheetView topLeftCell="A8" zoomScaleNormal="100" workbookViewId="0">
      <selection activeCell="E42" sqref="E42"/>
    </sheetView>
  </sheetViews>
  <sheetFormatPr defaultRowHeight="12" x14ac:dyDescent="0.15"/>
  <cols>
    <col min="1" max="1" width="2.125" customWidth="1"/>
    <col min="2" max="2" width="42.875" customWidth="1"/>
    <col min="3" max="3" width="5.25" hidden="1" customWidth="1"/>
    <col min="4" max="4" width="25.125" customWidth="1"/>
    <col min="5" max="8" width="8.875" customWidth="1"/>
    <col min="9" max="9" width="13.625" customWidth="1"/>
    <col min="10" max="10" width="6.75" customWidth="1"/>
    <col min="11" max="11" width="11" customWidth="1"/>
    <col min="12" max="12" width="8.875" customWidth="1"/>
  </cols>
  <sheetData>
    <row r="2" spans="1:17" ht="19.899999999999999" customHeight="1" x14ac:dyDescent="0.25">
      <c r="A2" s="244" t="s">
        <v>122</v>
      </c>
      <c r="B2" s="244"/>
      <c r="C2" s="244"/>
      <c r="D2" s="244"/>
      <c r="E2" s="244"/>
      <c r="F2" s="244"/>
      <c r="G2" s="244"/>
      <c r="H2" s="244"/>
      <c r="I2" s="244"/>
      <c r="J2" s="244"/>
      <c r="K2" s="244"/>
    </row>
    <row r="3" spans="1:17" ht="19.899999999999999" customHeight="1" x14ac:dyDescent="0.25">
      <c r="A3" s="244" t="s">
        <v>131</v>
      </c>
      <c r="B3" s="244"/>
      <c r="C3" s="244"/>
      <c r="D3" s="244"/>
      <c r="E3" s="244"/>
      <c r="F3" s="244"/>
      <c r="G3" s="244"/>
      <c r="H3" s="244"/>
      <c r="I3" s="244"/>
      <c r="J3" s="244"/>
      <c r="K3" s="244"/>
    </row>
    <row r="4" spans="1:17" ht="19.899999999999999" customHeight="1" x14ac:dyDescent="0.25">
      <c r="A4" s="244" t="s">
        <v>1</v>
      </c>
      <c r="B4" s="244"/>
      <c r="C4" s="244"/>
      <c r="D4" s="244"/>
      <c r="E4" s="244"/>
      <c r="F4" s="244"/>
      <c r="G4" s="244"/>
      <c r="H4" s="244"/>
      <c r="I4" s="244"/>
      <c r="J4" s="244"/>
      <c r="K4" s="244"/>
    </row>
    <row r="5" spans="1:17" ht="19.899999999999999" customHeight="1" x14ac:dyDescent="0.25">
      <c r="A5" s="244" t="s">
        <v>124</v>
      </c>
      <c r="B5" s="244"/>
      <c r="C5" s="244"/>
      <c r="D5" s="244"/>
      <c r="E5" s="244"/>
      <c r="F5" s="244"/>
      <c r="G5" s="244"/>
      <c r="H5" s="244"/>
      <c r="I5" s="244"/>
      <c r="J5" s="244"/>
      <c r="K5" s="244"/>
    </row>
    <row r="6" spans="1:17" ht="12.75" x14ac:dyDescent="0.2">
      <c r="A6" s="105"/>
      <c r="B6" s="105"/>
      <c r="C6" s="105"/>
      <c r="D6" s="105"/>
      <c r="E6" s="105"/>
      <c r="F6" s="105"/>
      <c r="G6" s="105"/>
      <c r="H6" s="105"/>
      <c r="I6" s="105"/>
      <c r="J6" s="105"/>
      <c r="K6" s="105"/>
    </row>
    <row r="7" spans="1:17" ht="12.75" x14ac:dyDescent="0.2">
      <c r="A7" s="106"/>
      <c r="B7" s="107"/>
      <c r="C7" s="107"/>
      <c r="D7" s="108"/>
      <c r="E7" s="108"/>
      <c r="F7" s="108"/>
      <c r="G7" s="108"/>
      <c r="H7" s="106"/>
      <c r="I7" s="106"/>
      <c r="J7" s="106"/>
      <c r="K7" s="106"/>
    </row>
    <row r="8" spans="1:17" ht="12.75" x14ac:dyDescent="0.2">
      <c r="A8" s="106"/>
      <c r="B8" s="107"/>
      <c r="C8" s="107"/>
      <c r="D8" s="106"/>
      <c r="E8" s="106"/>
      <c r="F8" s="106"/>
      <c r="G8" s="106"/>
      <c r="H8" s="106"/>
      <c r="I8" s="106"/>
      <c r="J8" s="106"/>
      <c r="K8" s="106"/>
    </row>
    <row r="9" spans="1:17" ht="12.75" x14ac:dyDescent="0.2">
      <c r="A9" s="106"/>
      <c r="B9" s="107"/>
      <c r="C9" s="107"/>
      <c r="D9" s="106"/>
      <c r="E9" s="106"/>
      <c r="F9" s="106"/>
      <c r="G9" s="106"/>
      <c r="H9" s="106"/>
      <c r="I9" s="106"/>
      <c r="J9" s="106"/>
      <c r="K9" s="106"/>
    </row>
    <row r="10" spans="1:17" ht="12.75" x14ac:dyDescent="0.2">
      <c r="A10" s="106"/>
      <c r="B10" s="107"/>
      <c r="C10" s="107"/>
      <c r="D10" s="106"/>
      <c r="E10" s="106"/>
      <c r="F10" s="106"/>
      <c r="G10" s="106"/>
      <c r="H10" s="106"/>
      <c r="I10" s="106"/>
      <c r="J10" s="106"/>
      <c r="K10" s="106"/>
    </row>
    <row r="11" spans="1:17" ht="12.75" x14ac:dyDescent="0.2">
      <c r="A11" s="106"/>
      <c r="B11" s="107"/>
      <c r="C11" s="107"/>
      <c r="D11" s="109"/>
      <c r="E11" s="106"/>
      <c r="F11" s="106"/>
      <c r="G11" s="106"/>
      <c r="H11" s="106"/>
      <c r="I11" s="106"/>
      <c r="J11" s="106"/>
      <c r="K11" s="106"/>
    </row>
    <row r="12" spans="1:17" ht="12.75" x14ac:dyDescent="0.2">
      <c r="A12" s="106"/>
      <c r="B12" s="106"/>
      <c r="C12" s="106"/>
      <c r="D12" s="105" t="s">
        <v>127</v>
      </c>
      <c r="E12" s="106"/>
      <c r="F12" s="106"/>
      <c r="G12" s="106"/>
      <c r="H12" s="106"/>
      <c r="I12" s="106"/>
      <c r="J12" s="106"/>
      <c r="K12" s="106"/>
    </row>
    <row r="13" spans="1:17" ht="12.75" x14ac:dyDescent="0.2">
      <c r="A13" s="106"/>
      <c r="B13" s="110"/>
      <c r="C13" s="110"/>
      <c r="D13" s="105" t="s">
        <v>132</v>
      </c>
      <c r="E13" s="105"/>
      <c r="F13" s="105"/>
      <c r="G13" s="105"/>
      <c r="H13" s="105"/>
      <c r="I13" s="105"/>
      <c r="J13" s="105"/>
      <c r="K13" s="105"/>
    </row>
    <row r="14" spans="1:17" s="1" customFormat="1" ht="16.149999999999999" customHeight="1" x14ac:dyDescent="0.2">
      <c r="A14" s="106"/>
      <c r="B14" s="178" t="s">
        <v>5</v>
      </c>
      <c r="C14" s="30" t="s">
        <v>6</v>
      </c>
      <c r="D14" s="178" t="s">
        <v>7</v>
      </c>
      <c r="E14" s="105"/>
      <c r="F14" s="105"/>
      <c r="G14" s="105"/>
      <c r="H14" s="105"/>
      <c r="I14" s="105"/>
      <c r="J14" s="105"/>
      <c r="K14" s="105"/>
    </row>
    <row r="15" spans="1:17" s="1" customFormat="1" ht="19.899999999999999" customHeight="1" x14ac:dyDescent="0.2">
      <c r="A15" s="179">
        <v>1</v>
      </c>
      <c r="B15" s="175" t="s">
        <v>8</v>
      </c>
      <c r="C15" s="153">
        <f>10800*C31</f>
        <v>11124</v>
      </c>
      <c r="D15" s="153">
        <f>ROUND(C15,0)</f>
        <v>11124</v>
      </c>
      <c r="E15" s="180"/>
      <c r="F15" s="106"/>
      <c r="G15" s="106"/>
      <c r="H15" s="106"/>
      <c r="I15" s="106"/>
      <c r="J15" s="106"/>
      <c r="K15" s="106"/>
    </row>
    <row r="16" spans="1:17" s="1" customFormat="1" ht="19.899999999999999" customHeight="1" x14ac:dyDescent="0.2">
      <c r="A16" s="179">
        <v>2</v>
      </c>
      <c r="B16" s="175" t="s">
        <v>98</v>
      </c>
      <c r="C16" s="153">
        <f>5658*C31</f>
        <v>5827.74</v>
      </c>
      <c r="D16" s="153">
        <f>ROUND(C16,0)</f>
        <v>5828</v>
      </c>
      <c r="E16" s="180"/>
      <c r="F16" s="106"/>
      <c r="G16" s="106"/>
      <c r="H16" s="106"/>
      <c r="I16" s="106"/>
      <c r="J16" s="106"/>
      <c r="K16" s="106"/>
      <c r="Q16" s="106"/>
    </row>
    <row r="17" spans="1:11" s="1" customFormat="1" ht="19.899999999999999" customHeight="1" x14ac:dyDescent="0.2">
      <c r="A17" s="179">
        <v>3</v>
      </c>
      <c r="B17" s="176" t="s">
        <v>133</v>
      </c>
      <c r="C17" s="153"/>
      <c r="D17" s="153" t="s">
        <v>134</v>
      </c>
      <c r="E17" s="180"/>
      <c r="F17" s="106"/>
      <c r="G17" s="106"/>
      <c r="H17" s="106"/>
      <c r="I17" s="106"/>
      <c r="J17" s="106"/>
    </row>
    <row r="18" spans="1:11" s="1" customFormat="1" ht="19.899999999999999" customHeight="1" x14ac:dyDescent="0.2">
      <c r="A18" s="179">
        <v>4</v>
      </c>
      <c r="B18" s="175" t="s">
        <v>21</v>
      </c>
      <c r="C18" s="153">
        <f>84312*C31</f>
        <v>86841.36</v>
      </c>
      <c r="D18" s="153">
        <f>ROUND(C18,0)</f>
        <v>86841</v>
      </c>
      <c r="E18" s="180"/>
      <c r="F18" s="106"/>
      <c r="G18" s="106"/>
      <c r="H18" s="106"/>
      <c r="I18" s="106"/>
      <c r="J18" s="106"/>
      <c r="K18" s="106"/>
    </row>
    <row r="19" spans="1:11" s="1" customFormat="1" ht="37.9" customHeight="1" x14ac:dyDescent="0.2">
      <c r="A19" s="179">
        <v>5</v>
      </c>
      <c r="B19" s="177" t="s">
        <v>22</v>
      </c>
      <c r="C19" s="153">
        <f>30859*C31</f>
        <v>31784.77</v>
      </c>
      <c r="D19" s="153">
        <f>ROUND(C19,0)</f>
        <v>31785</v>
      </c>
      <c r="E19" s="180"/>
      <c r="F19" s="106"/>
      <c r="G19" s="106"/>
      <c r="H19" s="106"/>
      <c r="I19" s="106"/>
      <c r="J19" s="106"/>
      <c r="K19" s="106"/>
    </row>
    <row r="20" spans="1:11" s="1" customFormat="1" ht="39.75" customHeight="1" x14ac:dyDescent="0.2">
      <c r="A20" s="179">
        <v>6</v>
      </c>
      <c r="B20" s="177" t="s">
        <v>30</v>
      </c>
      <c r="C20" s="153">
        <f>20573*C31</f>
        <v>21190.190000000002</v>
      </c>
      <c r="D20" s="153">
        <f>ROUND(C20,0)</f>
        <v>21190</v>
      </c>
      <c r="E20" s="180"/>
      <c r="F20" s="106"/>
      <c r="G20" s="106"/>
      <c r="H20" s="106"/>
      <c r="I20" s="106"/>
      <c r="J20" s="106"/>
      <c r="K20" s="106"/>
    </row>
    <row r="21" spans="1:11" s="1" customFormat="1" ht="12.75" x14ac:dyDescent="0.2">
      <c r="A21" s="106"/>
      <c r="B21" s="173" t="s">
        <v>135</v>
      </c>
      <c r="C21" s="173"/>
      <c r="D21" s="174">
        <f>SUM(D15:D20)</f>
        <v>156768</v>
      </c>
      <c r="E21" s="106"/>
      <c r="F21" s="106"/>
      <c r="G21" s="106"/>
      <c r="H21" s="106"/>
      <c r="I21" s="106"/>
      <c r="J21" s="106"/>
      <c r="K21" s="181"/>
    </row>
    <row r="22" spans="1:11" s="1" customFormat="1" ht="12.75" hidden="1" x14ac:dyDescent="0.2">
      <c r="A22" s="106"/>
      <c r="B22" s="106"/>
      <c r="C22" s="106"/>
      <c r="D22" s="106"/>
      <c r="E22" s="106"/>
      <c r="F22" s="106"/>
      <c r="G22" s="106"/>
      <c r="H22" s="106"/>
      <c r="I22" s="106"/>
      <c r="J22" s="106"/>
      <c r="K22" s="106"/>
    </row>
    <row r="23" spans="1:11" s="1" customFormat="1" ht="12.75" hidden="1" x14ac:dyDescent="0.2"/>
    <row r="24" spans="1:11" s="1" customFormat="1" ht="12.75" hidden="1" x14ac:dyDescent="0.2"/>
    <row r="25" spans="1:11" s="1" customFormat="1" ht="12.75" hidden="1" x14ac:dyDescent="0.2"/>
    <row r="26" spans="1:11" s="1" customFormat="1" ht="12.75" hidden="1" x14ac:dyDescent="0.2"/>
    <row r="27" spans="1:11" s="1" customFormat="1" ht="12.75" hidden="1" x14ac:dyDescent="0.2"/>
    <row r="28" spans="1:11" s="1" customFormat="1" ht="12.75" hidden="1" x14ac:dyDescent="0.2"/>
    <row r="29" spans="1:11" s="1" customFormat="1" ht="12.75" hidden="1" x14ac:dyDescent="0.2"/>
    <row r="30" spans="1:11" s="1" customFormat="1" ht="12.75" hidden="1" x14ac:dyDescent="0.2"/>
    <row r="31" spans="1:11" s="1" customFormat="1" ht="25.5" hidden="1" x14ac:dyDescent="0.2">
      <c r="B31" s="26" t="s">
        <v>12</v>
      </c>
      <c r="C31" s="27">
        <v>1.03</v>
      </c>
    </row>
    <row r="32" spans="1:11" s="1" customFormat="1" ht="12.75" hidden="1" x14ac:dyDescent="0.2"/>
    <row r="33" s="1" customFormat="1" ht="12.75" x14ac:dyDescent="0.2"/>
  </sheetData>
  <mergeCells count="4">
    <mergeCell ref="A2:K2"/>
    <mergeCell ref="A3:K3"/>
    <mergeCell ref="A4:K4"/>
    <mergeCell ref="A5:K5"/>
  </mergeCells>
  <pageMargins left="0.75000000000000011" right="0.75000000000000011" top="1" bottom="1" header="0.5" footer="0.5"/>
  <pageSetup scale="74" fitToWidth="0" fitToHeight="0" orientation="landscape" r:id="rId1"/>
  <headerFooter alignWithMargins="0">
    <oddFooter>&amp;C&amp;8 2014 SCTHLTH CARE-SHEA BMT ALO UNRELATED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A8" sqref="A8"/>
    </sheetView>
  </sheetViews>
  <sheetFormatPr defaultColWidth="9" defaultRowHeight="12" x14ac:dyDescent="0.15"/>
  <cols>
    <col min="1" max="1" width="4.5" style="47" customWidth="1"/>
    <col min="2" max="2" width="38.125" style="47" customWidth="1"/>
    <col min="3" max="3" width="14.125" style="47" hidden="1" customWidth="1"/>
    <col min="4" max="4" width="17" style="47" customWidth="1"/>
    <col min="5" max="5" width="12" style="47" customWidth="1"/>
    <col min="6" max="6" width="12.75" style="47" customWidth="1"/>
    <col min="7" max="7" width="14.125" style="47" customWidth="1"/>
    <col min="8" max="8" width="9.5" style="47" customWidth="1"/>
    <col min="9" max="9" width="13.25" style="47" customWidth="1"/>
    <col min="10" max="10" width="8" style="47" customWidth="1"/>
    <col min="11" max="11" width="30.75" style="47" customWidth="1"/>
    <col min="12" max="12" width="9" style="47" customWidth="1"/>
    <col min="13" max="16384" width="9" style="47"/>
  </cols>
  <sheetData>
    <row r="1" spans="1:12" s="53" customFormat="1" ht="12.75" x14ac:dyDescent="0.2"/>
    <row r="2" spans="1:12" s="53" customFormat="1" ht="12.75" x14ac:dyDescent="0.2"/>
    <row r="3" spans="1:12" s="53" customFormat="1" ht="19.899999999999999" customHeight="1" x14ac:dyDescent="0.25">
      <c r="B3" s="227" t="s">
        <v>136</v>
      </c>
      <c r="C3" s="227"/>
      <c r="D3" s="227"/>
      <c r="E3" s="227"/>
      <c r="F3" s="227"/>
      <c r="G3" s="227"/>
      <c r="H3" s="227"/>
      <c r="I3" s="227"/>
      <c r="J3" s="227"/>
      <c r="K3" s="227"/>
      <c r="L3" s="67"/>
    </row>
    <row r="4" spans="1:12" s="53" customFormat="1" ht="19.899999999999999" customHeight="1" x14ac:dyDescent="0.25">
      <c r="B4" s="227" t="s">
        <v>137</v>
      </c>
      <c r="C4" s="227"/>
      <c r="D4" s="227"/>
      <c r="E4" s="227"/>
      <c r="F4" s="227"/>
      <c r="G4" s="227"/>
      <c r="H4" s="227"/>
      <c r="I4" s="227"/>
      <c r="J4" s="227"/>
      <c r="K4" s="227"/>
      <c r="L4" s="67"/>
    </row>
    <row r="5" spans="1:12" s="53" customFormat="1" ht="19.899999999999999" customHeight="1" x14ac:dyDescent="0.25">
      <c r="B5" s="222" t="s">
        <v>1</v>
      </c>
      <c r="C5" s="222"/>
      <c r="D5" s="222"/>
      <c r="E5" s="222"/>
      <c r="F5" s="222"/>
      <c r="G5" s="222"/>
      <c r="H5" s="222"/>
      <c r="I5" s="222"/>
      <c r="J5" s="222"/>
      <c r="K5" s="222"/>
      <c r="L5" s="222"/>
    </row>
    <row r="6" spans="1:12" s="53" customFormat="1" ht="19.899999999999999" customHeight="1" x14ac:dyDescent="0.25">
      <c r="B6" s="227" t="s">
        <v>138</v>
      </c>
      <c r="C6" s="227"/>
      <c r="D6" s="227"/>
      <c r="E6" s="227"/>
      <c r="F6" s="227"/>
      <c r="G6" s="227"/>
      <c r="H6" s="227"/>
      <c r="I6" s="227"/>
      <c r="J6" s="227"/>
      <c r="K6" s="227"/>
      <c r="L6" s="67"/>
    </row>
    <row r="7" spans="1:12" s="154" customFormat="1" ht="12.75" x14ac:dyDescent="0.2"/>
    <row r="8" spans="1:12" s="154" customFormat="1" ht="20.25" customHeight="1" x14ac:dyDescent="0.2">
      <c r="A8" s="155"/>
      <c r="B8" s="156"/>
      <c r="C8" s="156"/>
      <c r="D8" s="157"/>
      <c r="E8" s="157"/>
    </row>
    <row r="9" spans="1:12" s="154" customFormat="1" ht="12.75" x14ac:dyDescent="0.2"/>
    <row r="10" spans="1:12" s="53" customFormat="1" ht="12.75" x14ac:dyDescent="0.2">
      <c r="B10" s="57"/>
      <c r="C10" s="57"/>
    </row>
    <row r="11" spans="1:12" s="53" customFormat="1" ht="12.75" x14ac:dyDescent="0.2">
      <c r="B11" s="57"/>
      <c r="C11" s="57"/>
    </row>
    <row r="12" spans="1:12" s="53" customFormat="1" ht="19.899999999999999" customHeight="1" x14ac:dyDescent="0.2">
      <c r="D12" s="8" t="s">
        <v>4</v>
      </c>
    </row>
    <row r="13" spans="1:12" s="1" customFormat="1" ht="18.600000000000001" customHeight="1" x14ac:dyDescent="0.2">
      <c r="A13" s="53"/>
      <c r="B13" s="59"/>
      <c r="C13" s="59"/>
      <c r="D13" s="11" t="s">
        <v>139</v>
      </c>
      <c r="E13" s="53"/>
      <c r="F13" s="53"/>
      <c r="G13" s="53"/>
      <c r="H13" s="53"/>
      <c r="I13" s="53"/>
      <c r="J13" s="53"/>
      <c r="K13" s="53"/>
      <c r="L13" s="53"/>
    </row>
    <row r="14" spans="1:12" s="1" customFormat="1" ht="18" customHeight="1" x14ac:dyDescent="0.2">
      <c r="A14" s="53"/>
      <c r="B14" s="113" t="s">
        <v>5</v>
      </c>
      <c r="C14" s="30" t="s">
        <v>6</v>
      </c>
      <c r="D14" s="114" t="s">
        <v>7</v>
      </c>
      <c r="E14" s="115"/>
      <c r="F14" s="115"/>
      <c r="G14" s="115"/>
      <c r="H14" s="115"/>
      <c r="I14" s="115"/>
      <c r="J14" s="115"/>
      <c r="K14" s="115"/>
      <c r="L14" s="53"/>
    </row>
    <row r="15" spans="1:12" s="1" customFormat="1" ht="28.5" customHeight="1" x14ac:dyDescent="0.2">
      <c r="A15" s="61">
        <v>1</v>
      </c>
      <c r="B15" s="62" t="s">
        <v>8</v>
      </c>
      <c r="C15" s="63">
        <f>10720*C29</f>
        <v>11041.6</v>
      </c>
      <c r="D15" s="153">
        <f>ROUND(C15,0)</f>
        <v>11042</v>
      </c>
      <c r="E15" s="53"/>
      <c r="F15" s="53"/>
      <c r="G15" s="53"/>
      <c r="H15" s="53"/>
      <c r="I15" s="53"/>
      <c r="J15" s="53"/>
      <c r="K15" s="53"/>
      <c r="L15" s="53"/>
    </row>
    <row r="16" spans="1:12" s="1" customFormat="1" ht="19.149999999999999" customHeight="1" x14ac:dyDescent="0.2">
      <c r="A16" s="61">
        <v>2</v>
      </c>
      <c r="B16" s="62" t="s">
        <v>21</v>
      </c>
      <c r="C16" s="63">
        <f>93881*C29</f>
        <v>96697.430000000008</v>
      </c>
      <c r="D16" s="153">
        <f>ROUND(C16,0)</f>
        <v>96697</v>
      </c>
      <c r="E16" s="53"/>
      <c r="F16" s="53"/>
      <c r="G16" s="53"/>
      <c r="H16" s="53"/>
      <c r="I16" s="53"/>
      <c r="J16" s="53"/>
      <c r="K16" s="53"/>
      <c r="L16" s="53"/>
    </row>
    <row r="17" spans="1:12" s="1" customFormat="1" ht="41.45" customHeight="1" x14ac:dyDescent="0.2">
      <c r="A17" s="61">
        <v>3</v>
      </c>
      <c r="B17" s="64" t="s">
        <v>22</v>
      </c>
      <c r="C17" s="63">
        <f>77260*C29</f>
        <v>79577.8</v>
      </c>
      <c r="D17" s="153">
        <f>ROUND(C17,0)</f>
        <v>79578</v>
      </c>
      <c r="E17" s="53"/>
      <c r="F17" s="53"/>
      <c r="G17" s="53"/>
      <c r="H17" s="53"/>
      <c r="I17" s="53"/>
      <c r="J17" s="53"/>
      <c r="K17" s="53"/>
      <c r="L17" s="53"/>
    </row>
    <row r="18" spans="1:12" s="1" customFormat="1" ht="36.6" customHeight="1" x14ac:dyDescent="0.2">
      <c r="A18" s="61">
        <v>4</v>
      </c>
      <c r="B18" s="64" t="s">
        <v>30</v>
      </c>
      <c r="C18" s="63">
        <f>21360*C29</f>
        <v>22000.799999999999</v>
      </c>
      <c r="D18" s="153">
        <f>ROUND(C18,0)</f>
        <v>22001</v>
      </c>
      <c r="E18" s="53"/>
      <c r="F18" s="53"/>
      <c r="G18" s="53"/>
      <c r="H18" s="53"/>
      <c r="I18" s="53"/>
      <c r="J18" s="53"/>
      <c r="K18" s="53"/>
      <c r="L18" s="53"/>
    </row>
    <row r="19" spans="1:12" s="1" customFormat="1" ht="15.75" customHeight="1" thickBot="1" x14ac:dyDescent="0.25">
      <c r="A19" s="152"/>
      <c r="B19" s="116" t="s">
        <v>140</v>
      </c>
      <c r="C19" s="116"/>
      <c r="D19" s="117">
        <f>SUM(D15:D18)</f>
        <v>209318</v>
      </c>
      <c r="E19" s="53"/>
      <c r="F19" s="53"/>
      <c r="G19" s="53"/>
      <c r="H19" s="53"/>
      <c r="I19" s="53"/>
      <c r="J19" s="53"/>
      <c r="K19" s="233"/>
      <c r="L19" s="53"/>
    </row>
    <row r="20" spans="1:12" s="1" customFormat="1" ht="13.5" thickTop="1" x14ac:dyDescent="0.2">
      <c r="A20" s="233"/>
      <c r="B20" s="233"/>
      <c r="C20" s="233"/>
      <c r="D20" s="233"/>
      <c r="E20" s="233"/>
      <c r="F20" s="233"/>
      <c r="G20" s="233"/>
      <c r="H20" s="233"/>
      <c r="I20" s="233"/>
      <c r="J20" s="233"/>
      <c r="K20" s="233"/>
      <c r="L20" s="53"/>
    </row>
    <row r="21" spans="1:12" s="1" customFormat="1" ht="12.75" x14ac:dyDescent="0.2">
      <c r="A21" s="233"/>
      <c r="B21" s="233"/>
      <c r="C21" s="233"/>
      <c r="D21" s="233"/>
      <c r="E21" s="233"/>
      <c r="F21" s="233"/>
      <c r="G21" s="233"/>
      <c r="H21" s="233"/>
      <c r="I21" s="233"/>
      <c r="J21" s="233"/>
      <c r="K21" s="233"/>
      <c r="L21" s="53"/>
    </row>
    <row r="22" spans="1:12" s="1" customFormat="1" ht="12.75" x14ac:dyDescent="0.2">
      <c r="A22" s="233"/>
      <c r="B22" s="233"/>
      <c r="C22" s="233"/>
      <c r="D22" s="233"/>
      <c r="E22" s="233"/>
      <c r="F22" s="233"/>
      <c r="G22" s="233"/>
      <c r="H22" s="233"/>
      <c r="I22" s="233"/>
      <c r="J22" s="233"/>
      <c r="K22" s="233"/>
      <c r="L22" s="53"/>
    </row>
    <row r="23" spans="1:12" s="1" customFormat="1" ht="12.75" x14ac:dyDescent="0.2">
      <c r="A23" s="233"/>
      <c r="B23" s="62" t="s">
        <v>10</v>
      </c>
      <c r="C23" s="68"/>
      <c r="D23" s="69">
        <v>71</v>
      </c>
      <c r="E23" s="233"/>
      <c r="F23" s="233"/>
      <c r="G23" s="233"/>
      <c r="H23" s="233"/>
      <c r="I23" s="233"/>
      <c r="J23" s="233"/>
      <c r="K23" s="233"/>
      <c r="L23" s="53"/>
    </row>
    <row r="24" spans="1:12" s="1" customFormat="1" ht="12.75" x14ac:dyDescent="0.2">
      <c r="A24" s="233"/>
      <c r="B24" s="25"/>
      <c r="C24" s="25"/>
      <c r="D24" s="160"/>
      <c r="E24" s="233"/>
      <c r="F24" s="233"/>
      <c r="G24" s="233"/>
      <c r="H24" s="233"/>
      <c r="I24" s="233"/>
      <c r="J24" s="233"/>
      <c r="K24" s="233"/>
      <c r="L24" s="53"/>
    </row>
    <row r="25" spans="1:12" s="1" customFormat="1" ht="18.75" customHeight="1" x14ac:dyDescent="0.2">
      <c r="A25" s="233"/>
      <c r="B25" s="62" t="s">
        <v>11</v>
      </c>
      <c r="C25" s="68"/>
      <c r="D25" s="69">
        <v>360</v>
      </c>
      <c r="E25" s="233"/>
      <c r="F25" s="233"/>
      <c r="G25" s="233"/>
      <c r="H25" s="233"/>
      <c r="I25" s="233"/>
      <c r="J25" s="233"/>
      <c r="K25" s="233"/>
      <c r="L25" s="53"/>
    </row>
    <row r="26" spans="1:12" s="1" customFormat="1" ht="34.5" hidden="1" customHeight="1" x14ac:dyDescent="0.2">
      <c r="A26" s="233"/>
      <c r="B26" s="233"/>
      <c r="C26" s="233"/>
      <c r="D26" s="233"/>
      <c r="E26" s="233"/>
      <c r="F26" s="233"/>
      <c r="G26" s="233"/>
      <c r="H26" s="233"/>
      <c r="I26" s="233"/>
      <c r="J26" s="233"/>
      <c r="K26" s="53"/>
      <c r="L26" s="53"/>
    </row>
    <row r="27" spans="1:12" s="1" customFormat="1" ht="12.75" hidden="1" x14ac:dyDescent="0.2">
      <c r="A27" s="53"/>
      <c r="B27" s="53"/>
      <c r="C27" s="53"/>
      <c r="D27" s="154"/>
      <c r="E27" s="154"/>
      <c r="F27" s="154"/>
      <c r="G27" s="154"/>
      <c r="H27" s="154"/>
      <c r="I27" s="154"/>
      <c r="J27" s="154"/>
      <c r="K27" s="53"/>
      <c r="L27" s="53"/>
    </row>
    <row r="28" spans="1:12" s="1" customFormat="1" ht="12.75" hidden="1" x14ac:dyDescent="0.2">
      <c r="A28" s="53"/>
      <c r="B28" s="53"/>
      <c r="C28" s="53"/>
      <c r="D28" s="154"/>
      <c r="E28" s="154"/>
      <c r="F28" s="154"/>
      <c r="G28" s="154"/>
      <c r="H28" s="154"/>
      <c r="I28" s="154"/>
      <c r="J28" s="154"/>
      <c r="K28" s="53"/>
      <c r="L28" s="53"/>
    </row>
    <row r="29" spans="1:12" s="1" customFormat="1" ht="25.5" hidden="1" x14ac:dyDescent="0.2">
      <c r="A29" s="53"/>
      <c r="B29" s="26" t="s">
        <v>12</v>
      </c>
      <c r="C29" s="27">
        <v>1.03</v>
      </c>
      <c r="D29" s="154"/>
      <c r="E29" s="154"/>
      <c r="F29" s="154"/>
      <c r="G29" s="154"/>
      <c r="H29" s="154"/>
      <c r="I29" s="154"/>
      <c r="J29" s="154"/>
      <c r="K29" s="53"/>
      <c r="L29" s="53"/>
    </row>
    <row r="30" spans="1:12" s="1" customFormat="1" ht="20.45" customHeight="1" x14ac:dyDescent="0.2">
      <c r="A30" s="245"/>
      <c r="B30" s="245"/>
      <c r="C30" s="245"/>
      <c r="D30" s="245"/>
      <c r="E30" s="245"/>
      <c r="F30" s="245"/>
      <c r="G30" s="245"/>
      <c r="H30" s="154"/>
      <c r="I30" s="154"/>
      <c r="J30" s="154"/>
      <c r="K30" s="53"/>
      <c r="L30" s="53"/>
    </row>
    <row r="31" spans="1:12" customFormat="1" ht="14.45" customHeight="1" x14ac:dyDescent="0.15">
      <c r="A31" s="47"/>
      <c r="B31" s="47"/>
      <c r="C31" s="47"/>
      <c r="D31" s="47"/>
      <c r="E31" s="47"/>
      <c r="F31" s="47"/>
      <c r="G31" s="47"/>
      <c r="H31" s="47"/>
      <c r="I31" s="47"/>
      <c r="J31" s="47"/>
      <c r="K31" s="47"/>
      <c r="L31" s="47"/>
    </row>
    <row r="32" spans="1:12" ht="16.149999999999999" customHeight="1" x14ac:dyDescent="0.15"/>
    <row r="33" ht="16.149999999999999" customHeight="1" x14ac:dyDescent="0.15"/>
    <row r="34" ht="14.45" customHeight="1" x14ac:dyDescent="0.15"/>
    <row r="35" ht="17.45" customHeight="1" x14ac:dyDescent="0.15"/>
    <row r="36" ht="19.149999999999999" customHeight="1" x14ac:dyDescent="0.15"/>
    <row r="37" ht="16.899999999999999" customHeight="1" x14ac:dyDescent="0.15"/>
    <row r="38" ht="17.45" customHeight="1" x14ac:dyDescent="0.15"/>
    <row r="39" ht="18.600000000000001" customHeight="1" x14ac:dyDescent="0.15"/>
    <row r="40" ht="16.899999999999999" customHeight="1" x14ac:dyDescent="0.15"/>
  </sheetData>
  <mergeCells count="10">
    <mergeCell ref="A26:J26"/>
    <mergeCell ref="A30:G30"/>
    <mergeCell ref="B3:K3"/>
    <mergeCell ref="B4:K4"/>
    <mergeCell ref="B5:L5"/>
    <mergeCell ref="B6:K6"/>
    <mergeCell ref="K19:K25"/>
    <mergeCell ref="A20:J22"/>
    <mergeCell ref="A23:A25"/>
    <mergeCell ref="E23:J25"/>
  </mergeCells>
  <pageMargins left="7.44166666666667E-2" right="0.35" top="1" bottom="1" header="0.5" footer="0.5"/>
  <pageSetup scale="74" fitToWidth="0" fitToHeight="0" orientation="landscape" r:id="rId1"/>
  <headerFooter alignWithMargins="0">
    <oddFooter>&amp;C&amp;8 2014 ST JOSEPHS SINGLE LUNG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7" zoomScaleNormal="100" workbookViewId="0">
      <selection activeCell="B12" sqref="B12"/>
    </sheetView>
  </sheetViews>
  <sheetFormatPr defaultColWidth="9" defaultRowHeight="12" x14ac:dyDescent="0.15"/>
  <cols>
    <col min="1" max="1" width="4.5" style="47" customWidth="1"/>
    <col min="2" max="2" width="40.75" style="47" customWidth="1"/>
    <col min="3" max="3" width="19.375" style="47" hidden="1" customWidth="1"/>
    <col min="4" max="4" width="18.125" style="47" customWidth="1"/>
    <col min="5" max="5" width="13.25" style="47" customWidth="1"/>
    <col min="6" max="6" width="10" style="47" customWidth="1"/>
    <col min="7" max="7" width="11.75" style="47" customWidth="1"/>
    <col min="8" max="8" width="8" style="47" customWidth="1"/>
    <col min="9" max="9" width="15.75" style="47" customWidth="1"/>
    <col min="10" max="10" width="15" style="47" customWidth="1"/>
    <col min="11" max="11" width="9" style="47" customWidth="1"/>
    <col min="12" max="16384" width="9" style="47"/>
  </cols>
  <sheetData>
    <row r="1" spans="1:11" ht="15" customHeight="1" x14ac:dyDescent="0.2">
      <c r="A1" s="53"/>
      <c r="B1" s="53"/>
      <c r="C1" s="53"/>
      <c r="D1" s="232"/>
      <c r="E1" s="232"/>
      <c r="F1" s="232"/>
      <c r="G1" s="232"/>
      <c r="H1" s="232"/>
      <c r="I1" s="232"/>
      <c r="J1" s="232"/>
      <c r="K1" s="232"/>
    </row>
    <row r="2" spans="1:11" ht="19.899999999999999" customHeight="1" x14ac:dyDescent="0.25">
      <c r="A2" s="227" t="s">
        <v>141</v>
      </c>
      <c r="B2" s="227"/>
      <c r="C2" s="227"/>
      <c r="D2" s="227"/>
      <c r="E2" s="227"/>
      <c r="F2" s="227"/>
      <c r="G2" s="227"/>
      <c r="H2" s="227"/>
      <c r="I2" s="227"/>
      <c r="J2" s="227"/>
    </row>
    <row r="3" spans="1:11" ht="19.899999999999999" customHeight="1" x14ac:dyDescent="0.25">
      <c r="A3" s="227" t="s">
        <v>142</v>
      </c>
      <c r="B3" s="227"/>
      <c r="C3" s="227"/>
      <c r="D3" s="227"/>
      <c r="E3" s="227"/>
      <c r="F3" s="227"/>
      <c r="G3" s="227"/>
      <c r="H3" s="227"/>
      <c r="I3" s="227"/>
      <c r="J3" s="227"/>
    </row>
    <row r="4" spans="1:11" ht="19.899999999999999" customHeight="1" x14ac:dyDescent="0.25">
      <c r="A4" s="222" t="s">
        <v>1</v>
      </c>
      <c r="B4" s="222"/>
      <c r="C4" s="222"/>
      <c r="D4" s="222"/>
      <c r="E4" s="222"/>
      <c r="F4" s="222"/>
      <c r="G4" s="222"/>
      <c r="H4" s="222"/>
      <c r="I4" s="222"/>
      <c r="J4" s="222"/>
    </row>
    <row r="5" spans="1:11" ht="19.899999999999999" customHeight="1" x14ac:dyDescent="0.25">
      <c r="A5" s="227" t="s">
        <v>143</v>
      </c>
      <c r="B5" s="227"/>
      <c r="C5" s="227"/>
      <c r="D5" s="227"/>
      <c r="E5" s="227"/>
      <c r="F5" s="227"/>
      <c r="G5" s="227"/>
      <c r="H5" s="227"/>
      <c r="I5" s="227"/>
      <c r="J5" s="227"/>
    </row>
    <row r="6" spans="1:11" ht="19.899999999999999" customHeight="1" x14ac:dyDescent="0.25">
      <c r="A6" s="44"/>
      <c r="B6" s="44"/>
      <c r="C6" s="44"/>
      <c r="D6" s="44"/>
      <c r="E6" s="44"/>
      <c r="F6" s="44"/>
      <c r="G6" s="44"/>
      <c r="H6" s="44"/>
      <c r="I6" s="44"/>
      <c r="J6" s="44"/>
    </row>
    <row r="7" spans="1:11" ht="15" customHeight="1" x14ac:dyDescent="0.25">
      <c r="A7" s="55"/>
      <c r="B7" s="56"/>
      <c r="C7" s="56"/>
      <c r="E7" s="56"/>
      <c r="F7" s="56"/>
      <c r="G7" s="56"/>
      <c r="H7" s="54"/>
      <c r="I7" s="54"/>
      <c r="J7" s="54"/>
    </row>
    <row r="8" spans="1:11" ht="15" customHeight="1" x14ac:dyDescent="0.25">
      <c r="A8" s="55"/>
      <c r="B8" s="54"/>
      <c r="C8" s="54"/>
      <c r="E8" s="54"/>
      <c r="F8" s="54"/>
      <c r="G8" s="54"/>
      <c r="H8" s="54"/>
      <c r="I8" s="54"/>
      <c r="J8" s="54"/>
    </row>
    <row r="9" spans="1:11" ht="15" customHeight="1" x14ac:dyDescent="0.25">
      <c r="A9" s="55"/>
      <c r="B9" s="54"/>
      <c r="C9" s="54"/>
      <c r="E9" s="54"/>
      <c r="F9" s="54"/>
      <c r="G9" s="54"/>
      <c r="H9" s="54"/>
      <c r="I9" s="54"/>
      <c r="J9" s="54"/>
    </row>
    <row r="10" spans="1:11" ht="15" customHeight="1" x14ac:dyDescent="0.25">
      <c r="A10" s="54"/>
      <c r="B10" s="55"/>
      <c r="C10" s="55"/>
      <c r="D10" s="54"/>
      <c r="E10" s="54"/>
      <c r="F10" s="54"/>
      <c r="G10" s="54"/>
      <c r="H10" s="54"/>
      <c r="I10" s="54"/>
      <c r="J10" s="54"/>
    </row>
    <row r="11" spans="1:11" ht="12.75" x14ac:dyDescent="0.2">
      <c r="A11" s="53"/>
      <c r="B11" s="57"/>
      <c r="C11" s="57"/>
      <c r="E11" s="53"/>
      <c r="F11" s="53"/>
      <c r="G11" s="53"/>
      <c r="I11" s="53"/>
      <c r="J11" s="53"/>
    </row>
    <row r="12" spans="1:11" ht="12.75" x14ac:dyDescent="0.2">
      <c r="A12" s="53"/>
      <c r="B12" s="53"/>
      <c r="C12" s="53"/>
      <c r="D12" s="8" t="s">
        <v>4</v>
      </c>
      <c r="E12" s="53"/>
      <c r="F12" s="53"/>
      <c r="G12" s="53"/>
      <c r="I12" s="53"/>
      <c r="J12" s="53"/>
    </row>
    <row r="13" spans="1:11" customFormat="1" ht="15.6" customHeight="1" x14ac:dyDescent="0.2">
      <c r="A13" s="53"/>
      <c r="B13" s="59"/>
      <c r="C13" s="59"/>
      <c r="D13" s="11" t="s">
        <v>144</v>
      </c>
      <c r="E13" s="47"/>
      <c r="F13" s="47"/>
      <c r="G13" s="47"/>
      <c r="H13" s="47"/>
      <c r="I13" s="47"/>
      <c r="J13" s="47"/>
      <c r="K13" s="47"/>
    </row>
    <row r="14" spans="1:11" s="1" customFormat="1" ht="25.5" x14ac:dyDescent="0.2">
      <c r="A14" s="160"/>
      <c r="B14" s="62" t="s">
        <v>5</v>
      </c>
      <c r="C14" s="30" t="s">
        <v>6</v>
      </c>
      <c r="D14" s="80" t="s">
        <v>7</v>
      </c>
      <c r="E14" s="58"/>
      <c r="F14" s="162"/>
      <c r="G14" s="162"/>
      <c r="H14" s="162"/>
      <c r="I14" s="58"/>
      <c r="J14" s="162"/>
      <c r="K14" s="160"/>
    </row>
    <row r="15" spans="1:11" s="1" customFormat="1" ht="13.9" customHeight="1" x14ac:dyDescent="0.2">
      <c r="A15" s="61">
        <v>1</v>
      </c>
      <c r="B15" s="81" t="s">
        <v>8</v>
      </c>
      <c r="C15" s="84">
        <f>10721*C28</f>
        <v>11042.630000000001</v>
      </c>
      <c r="D15" s="153">
        <f>ROUND(C15,0)</f>
        <v>11043</v>
      </c>
      <c r="E15" s="83"/>
      <c r="F15" s="160"/>
      <c r="G15" s="160"/>
      <c r="H15" s="160"/>
      <c r="I15" s="160"/>
      <c r="J15" s="160"/>
      <c r="K15" s="160"/>
    </row>
    <row r="16" spans="1:11" s="1" customFormat="1" ht="13.9" customHeight="1" x14ac:dyDescent="0.2">
      <c r="A16" s="61">
        <v>2</v>
      </c>
      <c r="B16" s="81" t="s">
        <v>21</v>
      </c>
      <c r="C16" s="84">
        <f>112147*C28</f>
        <v>115511.41</v>
      </c>
      <c r="D16" s="153">
        <f>ROUND(C16,0)</f>
        <v>115511</v>
      </c>
      <c r="E16" s="83"/>
      <c r="F16" s="160"/>
      <c r="G16" s="160"/>
      <c r="H16" s="160"/>
      <c r="I16" s="160"/>
      <c r="J16" s="160"/>
      <c r="K16" s="160"/>
    </row>
    <row r="17" spans="1:11" s="1" customFormat="1" ht="43.9" customHeight="1" x14ac:dyDescent="0.2">
      <c r="A17" s="61">
        <v>3</v>
      </c>
      <c r="B17" s="164" t="s">
        <v>22</v>
      </c>
      <c r="C17" s="86">
        <f>85301*C28</f>
        <v>87860.03</v>
      </c>
      <c r="D17" s="153">
        <f>ROUND(C17,0)</f>
        <v>87860</v>
      </c>
      <c r="E17" s="83"/>
      <c r="F17" s="160"/>
      <c r="G17" s="160"/>
      <c r="H17" s="160"/>
      <c r="I17" s="160"/>
      <c r="J17" s="160"/>
      <c r="K17" s="160"/>
    </row>
    <row r="18" spans="1:11" s="1" customFormat="1" ht="36" customHeight="1" x14ac:dyDescent="0.2">
      <c r="A18" s="61">
        <v>4</v>
      </c>
      <c r="B18" s="164" t="s">
        <v>30</v>
      </c>
      <c r="C18" s="86">
        <f>18558*C28</f>
        <v>19114.740000000002</v>
      </c>
      <c r="D18" s="153">
        <f>ROUND(C18,0)</f>
        <v>19115</v>
      </c>
      <c r="E18" s="83"/>
      <c r="F18" s="160"/>
      <c r="G18" s="160"/>
      <c r="H18" s="160"/>
      <c r="I18" s="160"/>
      <c r="J18" s="160"/>
      <c r="K18" s="160"/>
    </row>
    <row r="19" spans="1:11" customFormat="1" ht="18" customHeight="1" x14ac:dyDescent="0.2">
      <c r="A19" s="53"/>
      <c r="B19" s="20" t="s">
        <v>111</v>
      </c>
      <c r="C19" s="20"/>
      <c r="D19" s="65">
        <f>SUM(D15:D18)</f>
        <v>233529</v>
      </c>
      <c r="E19" s="53"/>
      <c r="F19" s="53"/>
      <c r="G19" s="53"/>
      <c r="H19" s="53"/>
      <c r="I19" s="53"/>
      <c r="J19" s="53"/>
      <c r="K19" s="47"/>
    </row>
    <row r="20" spans="1:11" customFormat="1" ht="12.75" x14ac:dyDescent="0.2">
      <c r="A20" s="53"/>
      <c r="B20" s="53"/>
      <c r="C20" s="53"/>
      <c r="D20" s="53"/>
      <c r="E20" s="53"/>
      <c r="F20" s="53"/>
      <c r="G20" s="53"/>
      <c r="H20" s="53"/>
      <c r="I20" s="53"/>
      <c r="J20" s="53"/>
      <c r="K20" s="47"/>
    </row>
    <row r="21" spans="1:11" customFormat="1" ht="24" customHeight="1" x14ac:dyDescent="0.2">
      <c r="A21" s="53"/>
      <c r="B21" s="62" t="s">
        <v>10</v>
      </c>
      <c r="C21" s="68"/>
      <c r="D21" s="69">
        <v>71</v>
      </c>
      <c r="E21" s="53"/>
      <c r="F21" s="53"/>
      <c r="G21" s="53"/>
      <c r="H21" s="53"/>
      <c r="I21" s="53"/>
      <c r="J21" s="53"/>
      <c r="K21" s="47"/>
    </row>
    <row r="22" spans="1:11" customFormat="1" ht="12.75" x14ac:dyDescent="0.2">
      <c r="A22" s="53"/>
      <c r="B22" s="25"/>
      <c r="C22" s="25"/>
      <c r="D22" s="53"/>
      <c r="E22" s="53"/>
      <c r="F22" s="53"/>
      <c r="G22" s="53"/>
      <c r="H22" s="53"/>
      <c r="I22" s="53"/>
      <c r="J22" s="53"/>
      <c r="K22" s="47"/>
    </row>
    <row r="23" spans="1:11" customFormat="1" ht="24" customHeight="1" x14ac:dyDescent="0.2">
      <c r="A23" s="53"/>
      <c r="B23" s="62" t="s">
        <v>11</v>
      </c>
      <c r="C23" s="68"/>
      <c r="D23" s="69">
        <v>360</v>
      </c>
      <c r="E23" s="53"/>
      <c r="F23" s="53"/>
      <c r="G23" s="53"/>
      <c r="H23" s="53"/>
      <c r="I23" s="53"/>
      <c r="J23" s="53"/>
      <c r="K23" s="47"/>
    </row>
    <row r="24" spans="1:11" hidden="1" x14ac:dyDescent="0.15"/>
    <row r="25" spans="1:11" hidden="1" x14ac:dyDescent="0.15"/>
    <row r="26" spans="1:11" hidden="1" x14ac:dyDescent="0.15"/>
    <row r="27" spans="1:11" hidden="1" x14ac:dyDescent="0.15"/>
    <row r="28" spans="1:11" ht="25.5" hidden="1" x14ac:dyDescent="0.2">
      <c r="B28" s="26" t="s">
        <v>12</v>
      </c>
      <c r="C28" s="27">
        <v>1.03</v>
      </c>
    </row>
  </sheetData>
  <mergeCells count="5">
    <mergeCell ref="D1:K1"/>
    <mergeCell ref="A2:J2"/>
    <mergeCell ref="A3:J3"/>
    <mergeCell ref="A4:J4"/>
    <mergeCell ref="A5:J5"/>
  </mergeCells>
  <pageMargins left="0.75" right="0.75" top="1" bottom="1" header="0.5" footer="0.5"/>
  <pageSetup scale="62" fitToWidth="0" fitToHeight="0" orientation="landscape" r:id="rId1"/>
  <headerFooter alignWithMargins="0">
    <oddFooter>&amp;C&amp;8 2014 ST JOSEPHS DOUBLE LUNG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A7" sqref="A7"/>
    </sheetView>
  </sheetViews>
  <sheetFormatPr defaultColWidth="9" defaultRowHeight="12.75" x14ac:dyDescent="0.2"/>
  <cols>
    <col min="1" max="1" width="2.875" style="1" customWidth="1"/>
    <col min="2" max="2" width="42.5" style="1" customWidth="1"/>
    <col min="3" max="3" width="16.625" style="1" hidden="1" customWidth="1"/>
    <col min="4" max="4" width="23.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1" spans="1:10" s="3" customFormat="1" ht="19.899999999999999" customHeight="1" x14ac:dyDescent="0.25">
      <c r="A1" s="222" t="s">
        <v>145</v>
      </c>
      <c r="B1" s="222"/>
      <c r="C1" s="222"/>
      <c r="D1" s="222"/>
      <c r="E1" s="222"/>
      <c r="F1" s="222"/>
      <c r="G1" s="222"/>
      <c r="H1" s="222"/>
      <c r="I1" s="222"/>
      <c r="J1" s="222"/>
    </row>
    <row r="2" spans="1:10" s="3" customFormat="1" ht="19.899999999999999" customHeight="1" x14ac:dyDescent="0.25">
      <c r="A2" s="222" t="s">
        <v>146</v>
      </c>
      <c r="B2" s="222"/>
      <c r="C2" s="222"/>
      <c r="D2" s="222"/>
      <c r="E2" s="222"/>
      <c r="F2" s="222"/>
      <c r="G2" s="222"/>
      <c r="H2" s="222"/>
      <c r="I2" s="222"/>
      <c r="J2" s="222"/>
    </row>
    <row r="3" spans="1:10" s="3" customFormat="1" ht="19.899999999999999" customHeight="1" x14ac:dyDescent="0.25">
      <c r="A3" s="222" t="s">
        <v>147</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148</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30" customHeight="1" x14ac:dyDescent="0.25">
      <c r="B7" s="5"/>
      <c r="C7" s="5"/>
    </row>
    <row r="8" spans="1:10" s="4" customFormat="1" ht="15" customHeight="1" x14ac:dyDescent="0.25">
      <c r="B8" s="5"/>
      <c r="C8" s="5"/>
    </row>
    <row r="9" spans="1:10" ht="15.75" customHeight="1" x14ac:dyDescent="0.2">
      <c r="B9" s="7"/>
      <c r="C9" s="7"/>
      <c r="D9" s="8"/>
    </row>
    <row r="10" spans="1:10" ht="16.5" customHeight="1" x14ac:dyDescent="0.2">
      <c r="D10" s="9" t="s">
        <v>14</v>
      </c>
    </row>
    <row r="11" spans="1:10" ht="18" customHeight="1" x14ac:dyDescent="0.2">
      <c r="B11" s="10"/>
      <c r="C11" s="10"/>
      <c r="D11" s="9" t="s">
        <v>149</v>
      </c>
      <c r="E11" s="9"/>
      <c r="F11" s="9"/>
      <c r="G11" s="9"/>
      <c r="H11" s="9"/>
      <c r="I11" s="11"/>
      <c r="J11" s="11"/>
    </row>
    <row r="12" spans="1:10" ht="24.95" customHeight="1" x14ac:dyDescent="0.2">
      <c r="B12" s="12" t="s">
        <v>5</v>
      </c>
      <c r="C12" s="30" t="s">
        <v>6</v>
      </c>
      <c r="D12" s="12" t="s">
        <v>7</v>
      </c>
      <c r="E12" s="9"/>
      <c r="F12" s="9"/>
      <c r="G12" s="9"/>
      <c r="H12" s="9"/>
      <c r="I12" s="11"/>
      <c r="J12" s="11"/>
    </row>
    <row r="13" spans="1:10" ht="15.6" customHeight="1" x14ac:dyDescent="0.2">
      <c r="A13" s="14">
        <v>1</v>
      </c>
      <c r="B13" s="19" t="s">
        <v>92</v>
      </c>
      <c r="C13" s="17">
        <f>5000*C24</f>
        <v>5150</v>
      </c>
      <c r="D13" s="153">
        <f>ROUND(C13,0)</f>
        <v>5150</v>
      </c>
    </row>
    <row r="14" spans="1:10" ht="48.75" customHeight="1" x14ac:dyDescent="0.2">
      <c r="A14" s="14">
        <v>2</v>
      </c>
      <c r="B14" s="19" t="s">
        <v>150</v>
      </c>
      <c r="C14" s="17">
        <f>58500*C24</f>
        <v>60255</v>
      </c>
      <c r="D14" s="153">
        <f>ROUND(C14,0)</f>
        <v>60255</v>
      </c>
    </row>
    <row r="15" spans="1:10" ht="64.5" customHeight="1" x14ac:dyDescent="0.2">
      <c r="A15" s="14">
        <v>3</v>
      </c>
      <c r="B15" s="35" t="s">
        <v>17</v>
      </c>
      <c r="C15" s="17">
        <f>16500*C24</f>
        <v>16995</v>
      </c>
      <c r="D15" s="153">
        <f>ROUND(C15,0)</f>
        <v>16995</v>
      </c>
    </row>
    <row r="16" spans="1:10" ht="35.1" customHeight="1" x14ac:dyDescent="0.2">
      <c r="B16" s="20" t="s">
        <v>151</v>
      </c>
      <c r="C16" s="20"/>
      <c r="D16" s="21">
        <f>SUM(D13:D15)</f>
        <v>82400</v>
      </c>
    </row>
    <row r="17" spans="2:4" ht="35.1" customHeight="1" x14ac:dyDescent="0.2">
      <c r="B17" s="20"/>
      <c r="C17" s="20"/>
      <c r="D17" s="21"/>
    </row>
    <row r="18" spans="2:4" ht="46.9" customHeight="1" x14ac:dyDescent="0.2">
      <c r="B18" s="19" t="s">
        <v>152</v>
      </c>
      <c r="C18" s="24"/>
    </row>
    <row r="19" spans="2:4" hidden="1" x14ac:dyDescent="0.2"/>
    <row r="20" spans="2:4" hidden="1" x14ac:dyDescent="0.2"/>
    <row r="21" spans="2:4" hidden="1" x14ac:dyDescent="0.2"/>
    <row r="22" spans="2:4" hidden="1" x14ac:dyDescent="0.2"/>
    <row r="23" spans="2:4" hidden="1" x14ac:dyDescent="0.2"/>
    <row r="24" spans="2:4" ht="25.5" hidden="1" x14ac:dyDescent="0.2">
      <c r="B24" s="26" t="s">
        <v>12</v>
      </c>
      <c r="C24" s="27">
        <v>1.03</v>
      </c>
    </row>
    <row r="25" spans="2:4" hidden="1" x14ac:dyDescent="0.2"/>
    <row r="26" spans="2:4" hidden="1" x14ac:dyDescent="0.2"/>
    <row r="27" spans="2:4" hidden="1" x14ac:dyDescent="0.2"/>
  </sheetData>
  <mergeCells count="5">
    <mergeCell ref="A1:J1"/>
    <mergeCell ref="A2:J2"/>
    <mergeCell ref="A3:J3"/>
    <mergeCell ref="A4:J4"/>
    <mergeCell ref="A5:J5"/>
  </mergeCells>
  <pageMargins left="0.75000000000000011" right="0.75000000000000011" top="1" bottom="1" header="0.5" footer="0.5"/>
  <pageSetup scale="68" fitToWidth="0" fitToHeight="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4" zoomScaleNormal="100" workbookViewId="0">
      <selection activeCell="A6" sqref="A6"/>
    </sheetView>
  </sheetViews>
  <sheetFormatPr defaultColWidth="9" defaultRowHeight="12.75" x14ac:dyDescent="0.2"/>
  <cols>
    <col min="1" max="1" width="2.875" style="1" customWidth="1"/>
    <col min="2" max="2" width="35.5" style="1" customWidth="1"/>
    <col min="3" max="3" width="37.875" style="1" hidden="1" customWidth="1"/>
    <col min="4" max="4" width="27.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1" spans="1:10" s="3" customFormat="1" ht="19.899999999999999" customHeight="1" x14ac:dyDescent="0.25">
      <c r="A1" s="222" t="s">
        <v>145</v>
      </c>
      <c r="B1" s="222"/>
      <c r="C1" s="222"/>
      <c r="D1" s="222"/>
      <c r="E1" s="222"/>
      <c r="F1" s="222"/>
      <c r="G1" s="222"/>
      <c r="H1" s="222"/>
      <c r="I1" s="222"/>
      <c r="J1" s="222"/>
    </row>
    <row r="2" spans="1:10" s="3" customFormat="1" ht="19.899999999999999" customHeight="1" x14ac:dyDescent="0.25">
      <c r="A2" s="222" t="s">
        <v>153</v>
      </c>
      <c r="B2" s="222"/>
      <c r="C2" s="222"/>
      <c r="D2" s="222"/>
      <c r="E2" s="222"/>
      <c r="F2" s="222"/>
      <c r="G2" s="222"/>
      <c r="H2" s="222"/>
      <c r="I2" s="222"/>
      <c r="J2" s="222"/>
    </row>
    <row r="3" spans="1:10" s="3" customFormat="1" ht="19.899999999999999" customHeight="1" x14ac:dyDescent="0.25">
      <c r="A3" s="222" t="s">
        <v>154</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148</v>
      </c>
      <c r="B5" s="222"/>
      <c r="C5" s="222"/>
      <c r="D5" s="222"/>
      <c r="E5" s="222"/>
      <c r="F5" s="222"/>
      <c r="G5" s="222"/>
      <c r="H5" s="222"/>
      <c r="I5" s="222"/>
      <c r="J5" s="222"/>
    </row>
    <row r="6" spans="1:10" s="3" customFormat="1" ht="15.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30" customHeight="1" x14ac:dyDescent="0.25">
      <c r="B9" s="5"/>
      <c r="C9" s="5"/>
    </row>
    <row r="10" spans="1:10" s="4" customFormat="1" ht="15" customHeight="1" x14ac:dyDescent="0.25">
      <c r="B10" s="5"/>
      <c r="C10" s="5"/>
    </row>
    <row r="11" spans="1:10" ht="18" customHeight="1" x14ac:dyDescent="0.2">
      <c r="B11" s="7"/>
      <c r="C11" s="7"/>
      <c r="D11" s="8"/>
    </row>
    <row r="12" spans="1:10" ht="21" customHeight="1" x14ac:dyDescent="0.2">
      <c r="D12" s="9" t="s">
        <v>3</v>
      </c>
    </row>
    <row r="13" spans="1:10" ht="15" customHeight="1" x14ac:dyDescent="0.2">
      <c r="B13" s="10"/>
      <c r="C13" s="10"/>
      <c r="D13" s="9" t="s">
        <v>149</v>
      </c>
      <c r="E13" s="9"/>
      <c r="F13" s="9"/>
      <c r="G13" s="9"/>
      <c r="H13" s="9"/>
      <c r="I13" s="11"/>
      <c r="J13" s="11"/>
    </row>
    <row r="14" spans="1:10" ht="24.95" customHeight="1" x14ac:dyDescent="0.2">
      <c r="B14" s="12" t="s">
        <v>5</v>
      </c>
      <c r="C14" s="30" t="s">
        <v>6</v>
      </c>
      <c r="D14" s="12" t="s">
        <v>7</v>
      </c>
      <c r="E14" s="9"/>
      <c r="F14" s="9"/>
      <c r="G14" s="9"/>
      <c r="H14" s="9"/>
      <c r="I14" s="11"/>
      <c r="J14" s="11"/>
    </row>
    <row r="15" spans="1:10" ht="20.45" customHeight="1" x14ac:dyDescent="0.2">
      <c r="A15" s="14">
        <v>1</v>
      </c>
      <c r="B15" s="19" t="s">
        <v>86</v>
      </c>
      <c r="C15" s="17">
        <f>5000*C31</f>
        <v>5150</v>
      </c>
      <c r="D15" s="17">
        <f>ROUND(C15,0)</f>
        <v>5150</v>
      </c>
    </row>
    <row r="16" spans="1:10" ht="43.15" customHeight="1" x14ac:dyDescent="0.2">
      <c r="A16" s="14">
        <v>2</v>
      </c>
      <c r="B16" s="19" t="s">
        <v>150</v>
      </c>
      <c r="C16" s="17">
        <f>75000*C31</f>
        <v>77250</v>
      </c>
      <c r="D16" s="17">
        <f>ROUND(C16,0)</f>
        <v>77250</v>
      </c>
    </row>
    <row r="17" spans="2:4" ht="35.1" customHeight="1" x14ac:dyDescent="0.2">
      <c r="B17" s="20" t="s">
        <v>155</v>
      </c>
      <c r="C17" s="20"/>
      <c r="D17" s="21">
        <f>SUM(D15:D16)</f>
        <v>82400</v>
      </c>
    </row>
    <row r="20" spans="2:4" ht="46.5" customHeight="1" x14ac:dyDescent="0.2">
      <c r="B20" s="19" t="s">
        <v>152</v>
      </c>
      <c r="C20" s="24"/>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t="25.5" hidden="1" x14ac:dyDescent="0.2">
      <c r="B31" s="26" t="s">
        <v>12</v>
      </c>
      <c r="C31" s="27">
        <v>1.03</v>
      </c>
    </row>
    <row r="32" spans="2:4" hidden="1" x14ac:dyDescent="0.2"/>
    <row r="33" spans="4:4" hidden="1" x14ac:dyDescent="0.2"/>
    <row r="36" spans="4:4" x14ac:dyDescent="0.2">
      <c r="D36" s="46"/>
    </row>
  </sheetData>
  <mergeCells count="5">
    <mergeCell ref="A1:J1"/>
    <mergeCell ref="A2:J2"/>
    <mergeCell ref="A3:J3"/>
    <mergeCell ref="A4:J4"/>
    <mergeCell ref="A5:J5"/>
  </mergeCells>
  <pageMargins left="0.25" right="0.25" top="0.25" bottom="0.25" header="0.25" footer="0.25"/>
  <pageSetup scale="80" fitToWidth="0" fitToHeight="0" orientation="landscape" r:id="rId1"/>
  <headerFooter alignWithMargins="0">
    <oddFooter>&amp;C&amp;8 2014 UCSD (RADY'S) CADAVERIC KDNY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opLeftCell="A18" zoomScaleNormal="100" workbookViewId="0">
      <selection activeCell="B44" sqref="B44"/>
    </sheetView>
  </sheetViews>
  <sheetFormatPr defaultColWidth="9" defaultRowHeight="12.75" x14ac:dyDescent="0.2"/>
  <cols>
    <col min="1" max="1" width="2.875" style="1" customWidth="1"/>
    <col min="2" max="2" width="35.625" style="1" customWidth="1"/>
    <col min="3" max="3" width="23.5" style="1" hidden="1" customWidth="1"/>
    <col min="4" max="4" width="34"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0</v>
      </c>
      <c r="B2" s="222"/>
      <c r="C2" s="222"/>
      <c r="D2" s="222"/>
      <c r="E2" s="222"/>
      <c r="F2" s="222"/>
      <c r="G2" s="222"/>
      <c r="H2" s="222"/>
      <c r="I2" s="222"/>
      <c r="J2" s="222"/>
      <c r="K2" s="222"/>
    </row>
    <row r="3" spans="1:11" s="3" customFormat="1" ht="19.899999999999999" customHeight="1" x14ac:dyDescent="0.25">
      <c r="A3" s="222" t="s">
        <v>19</v>
      </c>
      <c r="B3" s="222"/>
      <c r="C3" s="222"/>
      <c r="D3" s="222"/>
      <c r="E3" s="222"/>
      <c r="F3" s="222"/>
      <c r="G3" s="222"/>
      <c r="H3" s="222"/>
      <c r="I3" s="222"/>
      <c r="J3" s="222"/>
      <c r="K3" s="222"/>
    </row>
    <row r="4" spans="1:11" s="3" customFormat="1" ht="19.899999999999999" customHeight="1" x14ac:dyDescent="0.25">
      <c r="A4" s="222" t="s">
        <v>1</v>
      </c>
      <c r="B4" s="222"/>
      <c r="C4" s="222"/>
      <c r="D4" s="222"/>
      <c r="E4" s="222"/>
      <c r="F4" s="222"/>
      <c r="G4" s="222"/>
      <c r="H4" s="222"/>
      <c r="I4" s="222"/>
      <c r="J4" s="222"/>
      <c r="K4" s="222"/>
    </row>
    <row r="5" spans="1:11" s="3" customFormat="1" ht="19.899999999999999" customHeight="1" x14ac:dyDescent="0.25">
      <c r="A5" s="222" t="s">
        <v>2</v>
      </c>
      <c r="B5" s="222"/>
      <c r="C5" s="222"/>
      <c r="D5" s="222"/>
      <c r="E5" s="222"/>
      <c r="F5" s="222"/>
      <c r="G5" s="222"/>
      <c r="H5" s="222"/>
      <c r="I5" s="222"/>
      <c r="J5" s="222"/>
      <c r="K5" s="222"/>
    </row>
    <row r="6" spans="1:11" s="3" customFormat="1" ht="30" customHeight="1" x14ac:dyDescent="0.25">
      <c r="A6" s="2"/>
      <c r="B6" s="2"/>
      <c r="C6" s="2"/>
      <c r="D6" s="2"/>
      <c r="E6" s="2"/>
      <c r="F6" s="2"/>
      <c r="G6" s="2"/>
      <c r="H6" s="2"/>
      <c r="I6" s="2"/>
      <c r="J6" s="2"/>
      <c r="K6" s="2"/>
    </row>
    <row r="7" spans="1:11" s="4" customFormat="1" ht="30" customHeight="1" x14ac:dyDescent="0.25">
      <c r="B7" s="5"/>
      <c r="C7" s="5"/>
      <c r="D7" s="6"/>
      <c r="E7" s="6"/>
      <c r="F7" s="6"/>
      <c r="G7" s="6"/>
    </row>
    <row r="8" spans="1:11" s="4" customFormat="1" ht="30" customHeight="1" x14ac:dyDescent="0.25">
      <c r="B8" s="5"/>
      <c r="C8" s="5"/>
    </row>
    <row r="9" spans="1:11" s="4" customFormat="1" ht="30" customHeight="1" x14ac:dyDescent="0.25">
      <c r="B9" s="5"/>
      <c r="C9" s="5"/>
    </row>
    <row r="10" spans="1:11" s="4" customFormat="1" ht="30" customHeight="1" x14ac:dyDescent="0.25">
      <c r="B10" s="5"/>
      <c r="C10" s="5"/>
    </row>
    <row r="11" spans="1:11" ht="24.95" customHeight="1" x14ac:dyDescent="0.2">
      <c r="B11" s="7"/>
      <c r="C11" s="7"/>
      <c r="D11" s="8"/>
    </row>
    <row r="12" spans="1:11" ht="24.95" customHeight="1" x14ac:dyDescent="0.2">
      <c r="D12" s="9" t="s">
        <v>20</v>
      </c>
    </row>
    <row r="13" spans="1:11" ht="24.95" customHeight="1" x14ac:dyDescent="0.2">
      <c r="B13" s="10"/>
      <c r="C13" s="10"/>
      <c r="D13" s="9" t="s">
        <v>4</v>
      </c>
      <c r="E13" s="9"/>
      <c r="F13" s="9"/>
      <c r="G13" s="9"/>
      <c r="H13" s="9"/>
      <c r="I13" s="11"/>
      <c r="J13" s="11"/>
      <c r="K13" s="11"/>
    </row>
    <row r="14" spans="1:11" customFormat="1" ht="24.95" customHeight="1" x14ac:dyDescent="0.2">
      <c r="A14" s="198"/>
      <c r="B14" s="201" t="s">
        <v>5</v>
      </c>
      <c r="C14" s="30" t="s">
        <v>6</v>
      </c>
      <c r="D14" s="31" t="s">
        <v>7</v>
      </c>
      <c r="E14" s="9"/>
      <c r="F14" s="9"/>
      <c r="G14" s="9"/>
      <c r="H14" s="9"/>
      <c r="I14" s="11"/>
      <c r="J14" s="11"/>
      <c r="K14" s="1"/>
    </row>
    <row r="15" spans="1:11" customFormat="1" ht="35.1" customHeight="1" x14ac:dyDescent="0.2">
      <c r="A15" s="202">
        <v>1</v>
      </c>
      <c r="B15" s="41" t="s">
        <v>8</v>
      </c>
      <c r="C15" s="17">
        <f>11635*C31</f>
        <v>11984.050000000001</v>
      </c>
      <c r="D15" s="17">
        <f>ROUND(C15,0)</f>
        <v>11984</v>
      </c>
      <c r="E15" s="18"/>
      <c r="F15" s="1"/>
      <c r="G15" s="1"/>
      <c r="H15" s="1"/>
      <c r="I15" s="1"/>
      <c r="J15" s="1"/>
      <c r="K15" s="1"/>
    </row>
    <row r="16" spans="1:11" ht="35.1" customHeight="1" x14ac:dyDescent="0.2">
      <c r="A16" s="32">
        <v>2</v>
      </c>
      <c r="B16" s="33" t="s">
        <v>21</v>
      </c>
      <c r="C16" s="34">
        <f>64019*C31</f>
        <v>65939.570000000007</v>
      </c>
      <c r="D16" s="17">
        <f>ROUND(C16,0)</f>
        <v>65940</v>
      </c>
      <c r="E16" s="18"/>
    </row>
    <row r="17" spans="1:11" ht="42" customHeight="1" x14ac:dyDescent="0.2">
      <c r="A17" s="14">
        <v>3</v>
      </c>
      <c r="B17" s="35" t="s">
        <v>22</v>
      </c>
      <c r="C17" s="17">
        <f>28472*C31</f>
        <v>29326.16</v>
      </c>
      <c r="D17" s="17">
        <f>ROUND(C17,0)</f>
        <v>29326</v>
      </c>
      <c r="E17" s="18"/>
    </row>
    <row r="18" spans="1:11" ht="35.1" customHeight="1" x14ac:dyDescent="0.2">
      <c r="A18" s="14">
        <v>4</v>
      </c>
      <c r="B18" s="35" t="s">
        <v>23</v>
      </c>
      <c r="C18" s="17">
        <f>6198*C31</f>
        <v>6383.9400000000005</v>
      </c>
      <c r="D18" s="17">
        <f>ROUND(C18,0)</f>
        <v>6384</v>
      </c>
      <c r="E18" s="18"/>
    </row>
    <row r="19" spans="1:11" ht="35.1" customHeight="1" x14ac:dyDescent="0.2">
      <c r="B19" s="20" t="s">
        <v>24</v>
      </c>
      <c r="C19" s="20"/>
      <c r="D19" s="21">
        <f>SUM(D15:D18)</f>
        <v>113634</v>
      </c>
      <c r="K19" s="36"/>
    </row>
    <row r="20" spans="1:11" ht="39.950000000000003" customHeight="1" x14ac:dyDescent="0.2"/>
    <row r="21" spans="1:11" ht="20.100000000000001" customHeight="1" x14ac:dyDescent="0.2">
      <c r="B21" s="15" t="s">
        <v>10</v>
      </c>
      <c r="C21" s="22"/>
      <c r="D21" s="23">
        <v>154</v>
      </c>
    </row>
    <row r="22" spans="1:11" ht="20.100000000000001" customHeight="1" x14ac:dyDescent="0.2">
      <c r="B22" s="24"/>
      <c r="C22" s="24"/>
    </row>
    <row r="23" spans="1:11" ht="20.100000000000001" customHeight="1" x14ac:dyDescent="0.2">
      <c r="B23" s="15" t="s">
        <v>11</v>
      </c>
      <c r="C23" s="22"/>
      <c r="D23" s="23">
        <v>750</v>
      </c>
    </row>
    <row r="24" spans="1:11" ht="20.100000000000001" hidden="1" customHeight="1" x14ac:dyDescent="0.2">
      <c r="B24" s="25"/>
      <c r="C24" s="25"/>
    </row>
    <row r="25" spans="1:11" hidden="1" x14ac:dyDescent="0.2"/>
    <row r="26" spans="1:11" hidden="1" x14ac:dyDescent="0.2"/>
    <row r="27" spans="1:11" hidden="1" x14ac:dyDescent="0.2"/>
    <row r="28" spans="1:11" hidden="1" x14ac:dyDescent="0.2"/>
    <row r="29" spans="1:11" hidden="1" x14ac:dyDescent="0.2"/>
    <row r="30" spans="1:11" hidden="1" x14ac:dyDescent="0.2"/>
    <row r="31" spans="1:11" ht="25.5" hidden="1" x14ac:dyDescent="0.2">
      <c r="B31" s="26" t="s">
        <v>12</v>
      </c>
      <c r="C31" s="27">
        <v>1.03</v>
      </c>
    </row>
    <row r="32" spans="1:11" hidden="1" x14ac:dyDescent="0.2"/>
    <row r="33" hidden="1" x14ac:dyDescent="0.2"/>
  </sheetData>
  <mergeCells count="4">
    <mergeCell ref="A2:K2"/>
    <mergeCell ref="A3:K3"/>
    <mergeCell ref="A4:K4"/>
    <mergeCell ref="A5:K5"/>
  </mergeCells>
  <pageMargins left="0.25" right="0.25" top="0.25" bottom="0.25" header="0.25" footer="0.25"/>
  <pageSetup scale="70" fitToWidth="0" fitToHeight="0" orientation="landscape"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zoomScaleNormal="100" workbookViewId="0">
      <selection activeCell="F14" sqref="F14"/>
    </sheetView>
  </sheetViews>
  <sheetFormatPr defaultColWidth="9" defaultRowHeight="12.75" x14ac:dyDescent="0.2"/>
  <cols>
    <col min="1" max="1" width="2.875" style="1" customWidth="1"/>
    <col min="2" max="2" width="35.625" style="1" customWidth="1"/>
    <col min="3" max="3" width="21.75" style="1" hidden="1" customWidth="1"/>
    <col min="4" max="4" width="20.6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145</v>
      </c>
      <c r="B2" s="222"/>
      <c r="C2" s="222"/>
      <c r="D2" s="222"/>
      <c r="E2" s="222"/>
      <c r="F2" s="222"/>
      <c r="G2" s="222"/>
      <c r="H2" s="222"/>
      <c r="I2" s="222"/>
      <c r="J2" s="222"/>
    </row>
    <row r="3" spans="1:10" s="3" customFormat="1" ht="19.899999999999999" customHeight="1" x14ac:dyDescent="0.25">
      <c r="A3" s="222" t="s">
        <v>153</v>
      </c>
      <c r="B3" s="222"/>
      <c r="C3" s="222"/>
      <c r="D3" s="222"/>
      <c r="E3" s="222"/>
      <c r="F3" s="222"/>
      <c r="G3" s="222"/>
      <c r="H3" s="222"/>
      <c r="I3" s="222"/>
      <c r="J3" s="222"/>
    </row>
    <row r="4" spans="1:10" s="3" customFormat="1" ht="19.899999999999999" customHeight="1" x14ac:dyDescent="0.25">
      <c r="A4" s="222" t="s">
        <v>239</v>
      </c>
      <c r="B4" s="222"/>
      <c r="C4" s="222"/>
      <c r="D4" s="222"/>
      <c r="E4" s="222"/>
      <c r="F4" s="222"/>
      <c r="G4" s="222"/>
      <c r="H4" s="222"/>
      <c r="I4" s="222"/>
      <c r="J4" s="222"/>
    </row>
    <row r="5" spans="1:10" s="3" customFormat="1" ht="19.899999999999999" customHeight="1" x14ac:dyDescent="0.25">
      <c r="A5" s="222" t="s">
        <v>1</v>
      </c>
      <c r="B5" s="222"/>
      <c r="C5" s="222"/>
      <c r="D5" s="222"/>
      <c r="E5" s="222"/>
      <c r="F5" s="222"/>
      <c r="G5" s="222"/>
      <c r="H5" s="222"/>
      <c r="I5" s="222"/>
      <c r="J5" s="222"/>
    </row>
    <row r="6" spans="1:10" s="3" customFormat="1" ht="19.899999999999999" customHeight="1" x14ac:dyDescent="0.25">
      <c r="A6" s="222" t="s">
        <v>148</v>
      </c>
      <c r="B6" s="222"/>
      <c r="C6" s="222"/>
      <c r="D6" s="222"/>
      <c r="E6" s="222"/>
      <c r="F6" s="222"/>
      <c r="G6" s="222"/>
      <c r="H6" s="222"/>
      <c r="I6" s="222"/>
      <c r="J6" s="222"/>
    </row>
    <row r="7" spans="1:10" s="3" customFormat="1" ht="30" customHeight="1" x14ac:dyDescent="0.25">
      <c r="A7" s="2"/>
      <c r="B7" s="2"/>
      <c r="C7" s="2"/>
      <c r="D7" s="2"/>
      <c r="E7" s="2"/>
      <c r="F7" s="2"/>
      <c r="G7" s="2"/>
      <c r="H7" s="2"/>
      <c r="I7" s="2"/>
      <c r="J7" s="2"/>
    </row>
    <row r="8" spans="1:10" s="4" customFormat="1" ht="30" customHeight="1" x14ac:dyDescent="0.25">
      <c r="B8" s="5"/>
      <c r="C8" s="5"/>
    </row>
    <row r="9" spans="1:10" s="4" customFormat="1" ht="30" customHeight="1" x14ac:dyDescent="0.25">
      <c r="B9" s="5"/>
      <c r="C9" s="5"/>
    </row>
    <row r="10" spans="1:10" ht="24.95" customHeight="1" x14ac:dyDescent="0.2">
      <c r="B10" s="7"/>
      <c r="C10" s="7"/>
      <c r="D10" s="8"/>
    </row>
    <row r="11" spans="1:10" ht="24.95" customHeight="1" x14ac:dyDescent="0.2">
      <c r="D11" s="9" t="s">
        <v>68</v>
      </c>
    </row>
    <row r="12" spans="1:10" ht="18" customHeight="1" x14ac:dyDescent="0.2">
      <c r="B12" s="10"/>
      <c r="C12" s="10"/>
      <c r="D12" s="9" t="s">
        <v>149</v>
      </c>
      <c r="E12" s="9"/>
      <c r="F12" s="9"/>
      <c r="G12" s="9"/>
      <c r="H12" s="9"/>
      <c r="I12" s="11"/>
      <c r="J12" s="11"/>
    </row>
    <row r="13" spans="1:10" ht="24.95" customHeight="1" x14ac:dyDescent="0.2">
      <c r="B13" s="12" t="s">
        <v>5</v>
      </c>
      <c r="C13" s="30" t="s">
        <v>6</v>
      </c>
      <c r="D13" s="12" t="s">
        <v>7</v>
      </c>
      <c r="E13" s="9"/>
      <c r="F13" s="9"/>
      <c r="G13" s="9"/>
      <c r="H13" s="9"/>
      <c r="I13" s="11"/>
      <c r="J13" s="11"/>
    </row>
    <row r="14" spans="1:10" ht="35.1" customHeight="1" x14ac:dyDescent="0.2">
      <c r="A14" s="14">
        <v>1</v>
      </c>
      <c r="B14" s="15" t="s">
        <v>8</v>
      </c>
      <c r="C14" s="17">
        <f>5000*C29</f>
        <v>5150</v>
      </c>
      <c r="D14" s="17">
        <f>ROUND(C14,0)</f>
        <v>5150</v>
      </c>
    </row>
    <row r="15" spans="1:10" ht="35.1" customHeight="1" x14ac:dyDescent="0.2">
      <c r="A15" s="14">
        <v>2</v>
      </c>
      <c r="B15" s="15" t="s">
        <v>21</v>
      </c>
      <c r="C15" s="17">
        <f>92000*C29</f>
        <v>94760</v>
      </c>
      <c r="D15" s="17">
        <f>ROUND(C15,0)</f>
        <v>94760</v>
      </c>
    </row>
    <row r="16" spans="1:10" ht="49.5" customHeight="1" x14ac:dyDescent="0.2">
      <c r="A16" s="14">
        <v>3</v>
      </c>
      <c r="B16" s="35" t="s">
        <v>22</v>
      </c>
      <c r="C16" s="17">
        <f>74000*C29</f>
        <v>76220</v>
      </c>
      <c r="D16" s="17">
        <f>ROUND(C16,0)</f>
        <v>76220</v>
      </c>
    </row>
    <row r="17" spans="1:4" ht="35.1" customHeight="1" x14ac:dyDescent="0.2">
      <c r="A17" s="14">
        <v>4</v>
      </c>
      <c r="B17" s="35" t="s">
        <v>30</v>
      </c>
      <c r="C17" s="17">
        <f>14000*C29</f>
        <v>14420</v>
      </c>
      <c r="D17" s="17">
        <f>ROUND(C17,0)</f>
        <v>14420</v>
      </c>
    </row>
    <row r="18" spans="1:4" ht="35.1" customHeight="1" x14ac:dyDescent="0.2">
      <c r="B18" s="20" t="s">
        <v>31</v>
      </c>
      <c r="C18" s="20"/>
      <c r="D18" s="21">
        <f>SUM(D14:D17)</f>
        <v>190550</v>
      </c>
    </row>
    <row r="19" spans="1:4" ht="39.950000000000003" customHeight="1" x14ac:dyDescent="0.2"/>
    <row r="20" spans="1:4" ht="19.5" customHeight="1" x14ac:dyDescent="0.2">
      <c r="B20" s="25"/>
      <c r="C20" s="25"/>
    </row>
    <row r="21" spans="1:4" ht="63" customHeight="1" x14ac:dyDescent="0.2">
      <c r="B21" s="19" t="s">
        <v>152</v>
      </c>
      <c r="C21" s="24"/>
    </row>
    <row r="22" spans="1:4" hidden="1" x14ac:dyDescent="0.2"/>
    <row r="23" spans="1:4" hidden="1" x14ac:dyDescent="0.2"/>
    <row r="24" spans="1:4" hidden="1" x14ac:dyDescent="0.2"/>
    <row r="25" spans="1:4" hidden="1" x14ac:dyDescent="0.2">
      <c r="B25" s="46"/>
      <c r="C25" s="46"/>
    </row>
    <row r="26" spans="1:4" hidden="1" x14ac:dyDescent="0.2"/>
    <row r="27" spans="1:4" hidden="1" x14ac:dyDescent="0.2"/>
    <row r="28" spans="1:4" hidden="1" x14ac:dyDescent="0.2"/>
    <row r="29" spans="1:4" ht="25.5" hidden="1" x14ac:dyDescent="0.2">
      <c r="B29" s="26" t="s">
        <v>12</v>
      </c>
      <c r="C29" s="27">
        <v>1.03</v>
      </c>
    </row>
    <row r="30" spans="1:4" hidden="1" x14ac:dyDescent="0.2"/>
    <row r="31" spans="1:4" hidden="1" x14ac:dyDescent="0.2"/>
    <row r="32" spans="1:4" hidden="1" x14ac:dyDescent="0.2"/>
    <row r="33" hidden="1" x14ac:dyDescent="0.2"/>
  </sheetData>
  <mergeCells count="5">
    <mergeCell ref="A2:J2"/>
    <mergeCell ref="A3:J3"/>
    <mergeCell ref="A4:J4"/>
    <mergeCell ref="A5:J5"/>
    <mergeCell ref="A6:J6"/>
  </mergeCells>
  <pageMargins left="0.25" right="0.25" top="0.25" bottom="0.25" header="0.25" footer="0.25"/>
  <pageSetup scale="80" fitToWidth="0" fitToHeight="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D1" zoomScaleNormal="100" workbookViewId="0">
      <selection activeCell="H7" sqref="H7"/>
    </sheetView>
  </sheetViews>
  <sheetFormatPr defaultColWidth="9" defaultRowHeight="12.75" x14ac:dyDescent="0.2"/>
  <cols>
    <col min="1" max="1" width="2.875" style="1" customWidth="1"/>
    <col min="2" max="2" width="40.125" style="1" customWidth="1"/>
    <col min="3" max="3" width="22.5" style="1" hidden="1" customWidth="1"/>
    <col min="4" max="4" width="20.62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1" spans="1:11" s="147" customFormat="1" ht="15" customHeight="1" x14ac:dyDescent="0.15"/>
    <row r="2" spans="1:11" s="3" customFormat="1" ht="19.899999999999999" customHeight="1" x14ac:dyDescent="0.25">
      <c r="A2" s="222" t="s">
        <v>145</v>
      </c>
      <c r="B2" s="222"/>
      <c r="C2" s="222"/>
      <c r="D2" s="222"/>
      <c r="E2" s="222"/>
      <c r="F2" s="222"/>
      <c r="G2" s="222"/>
      <c r="H2" s="222"/>
      <c r="I2" s="222"/>
      <c r="J2" s="222"/>
      <c r="K2" s="222"/>
    </row>
    <row r="3" spans="1:11" s="3" customFormat="1" ht="19.899999999999999" customHeight="1" x14ac:dyDescent="0.25">
      <c r="A3" s="222" t="s">
        <v>153</v>
      </c>
      <c r="B3" s="222"/>
      <c r="C3" s="222"/>
      <c r="D3" s="222"/>
      <c r="E3" s="222"/>
      <c r="F3" s="222"/>
      <c r="G3" s="222"/>
      <c r="H3" s="222"/>
      <c r="I3" s="222"/>
      <c r="J3" s="222"/>
      <c r="K3" s="222"/>
    </row>
    <row r="4" spans="1:11" s="3" customFormat="1" ht="19.899999999999999" customHeight="1" x14ac:dyDescent="0.25">
      <c r="A4" s="222" t="s">
        <v>156</v>
      </c>
      <c r="B4" s="222"/>
      <c r="C4" s="222"/>
      <c r="D4" s="222"/>
      <c r="E4" s="222"/>
      <c r="F4" s="222"/>
      <c r="G4" s="222"/>
      <c r="H4" s="222"/>
      <c r="I4" s="222"/>
      <c r="J4" s="222"/>
      <c r="K4" s="222"/>
    </row>
    <row r="5" spans="1:11" s="3" customFormat="1" ht="19.899999999999999" customHeight="1" x14ac:dyDescent="0.25">
      <c r="A5" s="222" t="s">
        <v>1</v>
      </c>
      <c r="B5" s="222"/>
      <c r="C5" s="222"/>
      <c r="D5" s="222"/>
      <c r="E5" s="222"/>
      <c r="F5" s="222"/>
      <c r="G5" s="222"/>
      <c r="H5" s="222"/>
      <c r="I5" s="222"/>
      <c r="J5" s="222"/>
      <c r="K5" s="222"/>
    </row>
    <row r="6" spans="1:11" s="3" customFormat="1" ht="19.899999999999999" customHeight="1" x14ac:dyDescent="0.25">
      <c r="A6" s="222" t="s">
        <v>148</v>
      </c>
      <c r="B6" s="222"/>
      <c r="C6" s="222"/>
      <c r="D6" s="222"/>
      <c r="E6" s="222"/>
      <c r="F6" s="222"/>
      <c r="G6" s="222"/>
      <c r="H6" s="222"/>
      <c r="I6" s="222"/>
      <c r="J6" s="222"/>
      <c r="K6" s="222"/>
    </row>
    <row r="7" spans="1:11" s="3" customFormat="1" ht="15.6" customHeight="1" x14ac:dyDescent="0.25">
      <c r="A7" s="2"/>
      <c r="B7" s="2"/>
      <c r="C7" s="2"/>
      <c r="D7" s="2"/>
      <c r="E7" s="2"/>
      <c r="F7" s="2"/>
      <c r="G7" s="2"/>
      <c r="H7" s="2"/>
      <c r="I7" s="2"/>
      <c r="J7" s="2"/>
      <c r="K7" s="2"/>
    </row>
    <row r="8" spans="1:11" s="4" customFormat="1" ht="16.149999999999999" customHeight="1" x14ac:dyDescent="0.25">
      <c r="B8" s="5"/>
      <c r="C8" s="5"/>
    </row>
    <row r="9" spans="1:11" ht="15" customHeight="1" x14ac:dyDescent="0.2">
      <c r="B9" s="7"/>
      <c r="C9" s="7"/>
      <c r="D9" s="8"/>
    </row>
    <row r="10" spans="1:11" ht="17.45" customHeight="1" x14ac:dyDescent="0.2">
      <c r="D10" s="9" t="s">
        <v>35</v>
      </c>
    </row>
    <row r="11" spans="1:11" ht="13.9" customHeight="1" x14ac:dyDescent="0.2">
      <c r="B11" s="10"/>
      <c r="C11" s="10"/>
      <c r="D11" s="9" t="s">
        <v>91</v>
      </c>
      <c r="E11" s="9"/>
      <c r="F11" s="9"/>
      <c r="G11" s="9"/>
      <c r="H11" s="9"/>
      <c r="I11" s="11"/>
      <c r="J11" s="11"/>
      <c r="K11" s="11"/>
    </row>
    <row r="12" spans="1:11" ht="24.95" customHeight="1" x14ac:dyDescent="0.2">
      <c r="B12" s="12" t="s">
        <v>5</v>
      </c>
      <c r="C12" s="30" t="s">
        <v>6</v>
      </c>
      <c r="D12" s="12" t="s">
        <v>7</v>
      </c>
      <c r="E12" s="9"/>
      <c r="F12" s="9"/>
      <c r="G12" s="9"/>
      <c r="H12" s="9"/>
      <c r="I12" s="11"/>
      <c r="J12" s="11"/>
      <c r="K12" s="11"/>
    </row>
    <row r="13" spans="1:11" ht="13.9" customHeight="1" x14ac:dyDescent="0.2">
      <c r="A13" s="14">
        <v>1</v>
      </c>
      <c r="B13" s="15" t="s">
        <v>8</v>
      </c>
      <c r="C13" s="17">
        <f>5000*C28</f>
        <v>5150</v>
      </c>
      <c r="D13" s="17">
        <f>ROUND(C13,0)</f>
        <v>5150</v>
      </c>
      <c r="E13" s="18"/>
    </row>
    <row r="14" spans="1:11" ht="13.9" customHeight="1" x14ac:dyDescent="0.2">
      <c r="A14" s="14">
        <v>2</v>
      </c>
      <c r="B14" s="1" t="s">
        <v>37</v>
      </c>
      <c r="C14" s="17">
        <f>20000*C28</f>
        <v>20600</v>
      </c>
      <c r="D14" s="17">
        <f>ROUND(C14,0)</f>
        <v>20600</v>
      </c>
      <c r="E14" s="18"/>
    </row>
    <row r="15" spans="1:11" ht="13.9" customHeight="1" x14ac:dyDescent="0.2">
      <c r="A15" s="14">
        <v>3</v>
      </c>
      <c r="B15" s="15" t="s">
        <v>21</v>
      </c>
      <c r="C15" s="17">
        <f>70000*C28</f>
        <v>72100</v>
      </c>
      <c r="D15" s="17">
        <f>ROUND(C15,0)</f>
        <v>72100</v>
      </c>
      <c r="E15" s="18"/>
    </row>
    <row r="16" spans="1:11" ht="38.450000000000003" customHeight="1" x14ac:dyDescent="0.2">
      <c r="A16" s="14">
        <v>4</v>
      </c>
      <c r="B16" s="35" t="s">
        <v>22</v>
      </c>
      <c r="C16" s="71"/>
      <c r="D16" s="71" t="s">
        <v>157</v>
      </c>
      <c r="E16" s="18"/>
    </row>
    <row r="17" spans="1:11" ht="36" customHeight="1" x14ac:dyDescent="0.2">
      <c r="A17" s="14">
        <v>5</v>
      </c>
      <c r="B17" s="43" t="s">
        <v>30</v>
      </c>
      <c r="C17" s="119">
        <f>14000*C28</f>
        <v>14420</v>
      </c>
      <c r="D17" s="17">
        <f>ROUND(C17,0)</f>
        <v>14420</v>
      </c>
      <c r="E17" s="18"/>
    </row>
    <row r="18" spans="1:11" ht="46.15" customHeight="1" thickBot="1" x14ac:dyDescent="0.25">
      <c r="A18" s="32">
        <v>6</v>
      </c>
      <c r="B18" s="19" t="s">
        <v>158</v>
      </c>
      <c r="C18" s="71"/>
      <c r="D18" s="120" t="s">
        <v>220</v>
      </c>
      <c r="E18" s="18"/>
    </row>
    <row r="19" spans="1:11" ht="18.600000000000001" customHeight="1" thickBot="1" x14ac:dyDescent="0.25">
      <c r="B19" s="121" t="s">
        <v>38</v>
      </c>
      <c r="C19" s="122"/>
      <c r="D19" s="123">
        <f>SUM(D13:D17)+8240</f>
        <v>120510</v>
      </c>
      <c r="K19" s="36"/>
    </row>
    <row r="20" spans="1:11" ht="24" customHeight="1" x14ac:dyDescent="0.2">
      <c r="B20" s="124"/>
      <c r="D20" s="125"/>
    </row>
    <row r="21" spans="1:11" ht="29.45" customHeight="1" x14ac:dyDescent="0.2">
      <c r="B21" s="19" t="s">
        <v>159</v>
      </c>
      <c r="C21" s="196"/>
      <c r="D21" s="199"/>
    </row>
    <row r="22" spans="1:11" ht="20.100000000000001" customHeight="1" x14ac:dyDescent="0.2">
      <c r="B22" s="25"/>
      <c r="C22" s="25"/>
    </row>
    <row r="23" spans="1:11" ht="34.15" customHeight="1" x14ac:dyDescent="0.2">
      <c r="B23" s="126" t="s">
        <v>41</v>
      </c>
      <c r="C23" s="73"/>
    </row>
    <row r="24" spans="1:11" ht="13.9" hidden="1" customHeight="1" x14ac:dyDescent="0.2"/>
    <row r="25" spans="1:11" hidden="1" x14ac:dyDescent="0.2"/>
    <row r="26" spans="1:11" hidden="1" x14ac:dyDescent="0.2"/>
    <row r="27" spans="1:11" hidden="1" x14ac:dyDescent="0.2"/>
    <row r="28" spans="1:11" customFormat="1" ht="25.5" hidden="1" x14ac:dyDescent="0.2">
      <c r="A28" s="1"/>
      <c r="B28" s="26" t="s">
        <v>12</v>
      </c>
      <c r="C28" s="27">
        <v>1.03</v>
      </c>
      <c r="D28" s="1"/>
      <c r="E28" s="1"/>
      <c r="F28" s="1"/>
      <c r="G28" s="1"/>
      <c r="H28" s="1"/>
      <c r="I28" s="1"/>
      <c r="J28" s="1"/>
      <c r="K28" s="1"/>
    </row>
    <row r="29" spans="1:11" hidden="1" x14ac:dyDescent="0.2"/>
    <row r="30" spans="1:11" hidden="1" x14ac:dyDescent="0.2"/>
    <row r="31" spans="1:11" hidden="1" x14ac:dyDescent="0.2"/>
    <row r="32" spans="1:11" hidden="1" x14ac:dyDescent="0.2"/>
  </sheetData>
  <mergeCells count="5">
    <mergeCell ref="A2:K2"/>
    <mergeCell ref="A3:K3"/>
    <mergeCell ref="A4:K4"/>
    <mergeCell ref="A5:K5"/>
    <mergeCell ref="A6:K6"/>
  </mergeCells>
  <pageMargins left="0.27333333333333298" right="0.75" top="1" bottom="1" header="0.5" footer="0.5"/>
  <pageSetup scale="70" fitToWidth="0" fitToHeight="0" orientation="landscape" r:id="rId1"/>
  <headerFooter alignWithMargins="0">
    <oddFooter xml:space="preserve">&amp;L                                                                  2014 UCSD (RADY) PED AUTO BMT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B10" zoomScaleNormal="100" workbookViewId="0">
      <selection activeCell="H20" sqref="H20"/>
    </sheetView>
  </sheetViews>
  <sheetFormatPr defaultColWidth="9" defaultRowHeight="12.75" x14ac:dyDescent="0.2"/>
  <cols>
    <col min="1" max="1" width="5.375" style="1" customWidth="1"/>
    <col min="2" max="2" width="41" style="1" customWidth="1"/>
    <col min="3" max="3" width="17.75" style="1" hidden="1" customWidth="1"/>
    <col min="4" max="4" width="24.37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1" spans="1:11" s="3" customFormat="1" ht="24.95" customHeight="1" x14ac:dyDescent="0.25">
      <c r="A1" s="222" t="s">
        <v>145</v>
      </c>
      <c r="B1" s="222"/>
      <c r="C1" s="222"/>
      <c r="D1" s="222"/>
      <c r="E1" s="222"/>
      <c r="F1" s="222"/>
      <c r="G1" s="222"/>
      <c r="H1" s="222"/>
      <c r="I1" s="222"/>
      <c r="J1" s="222"/>
      <c r="K1" s="222"/>
    </row>
    <row r="2" spans="1:11" s="3" customFormat="1" ht="19.899999999999999" customHeight="1" x14ac:dyDescent="0.25">
      <c r="A2" s="222" t="s">
        <v>153</v>
      </c>
      <c r="B2" s="222"/>
      <c r="C2" s="222"/>
      <c r="D2" s="222"/>
      <c r="E2" s="222"/>
      <c r="F2" s="222"/>
      <c r="G2" s="222"/>
      <c r="H2" s="222"/>
      <c r="I2" s="222"/>
      <c r="J2" s="222"/>
      <c r="K2" s="222"/>
    </row>
    <row r="3" spans="1:11" s="3" customFormat="1" ht="19.899999999999999" customHeight="1" x14ac:dyDescent="0.25">
      <c r="A3" s="222" t="s">
        <v>160</v>
      </c>
      <c r="B3" s="222"/>
      <c r="C3" s="222"/>
      <c r="D3" s="222"/>
      <c r="E3" s="222"/>
      <c r="F3" s="222"/>
      <c r="G3" s="222"/>
      <c r="H3" s="222"/>
      <c r="I3" s="222"/>
      <c r="J3" s="222"/>
      <c r="K3" s="222"/>
    </row>
    <row r="4" spans="1:11" s="3" customFormat="1" ht="19.899999999999999" customHeight="1" x14ac:dyDescent="0.25">
      <c r="A4" s="222" t="s">
        <v>1</v>
      </c>
      <c r="B4" s="222"/>
      <c r="C4" s="222"/>
      <c r="D4" s="222"/>
      <c r="E4" s="222"/>
      <c r="F4" s="222"/>
      <c r="G4" s="222"/>
      <c r="H4" s="222"/>
      <c r="I4" s="222"/>
      <c r="J4" s="222"/>
      <c r="K4" s="222"/>
    </row>
    <row r="5" spans="1:11" s="3" customFormat="1" ht="19.899999999999999" customHeight="1" x14ac:dyDescent="0.25">
      <c r="A5" s="222" t="s">
        <v>148</v>
      </c>
      <c r="B5" s="222"/>
      <c r="C5" s="222"/>
      <c r="D5" s="222"/>
      <c r="E5" s="222"/>
      <c r="F5" s="222"/>
      <c r="G5" s="222"/>
      <c r="H5" s="222"/>
      <c r="I5" s="222"/>
      <c r="J5" s="222"/>
      <c r="K5" s="222"/>
    </row>
    <row r="6" spans="1:11" s="3" customFormat="1" ht="30" customHeight="1" x14ac:dyDescent="0.25">
      <c r="A6" s="2"/>
      <c r="B6" s="2"/>
      <c r="C6" s="2"/>
      <c r="D6" s="2"/>
      <c r="E6" s="2"/>
      <c r="F6" s="2"/>
      <c r="G6" s="2"/>
      <c r="H6" s="2"/>
      <c r="I6" s="2"/>
      <c r="J6" s="2"/>
      <c r="K6" s="2"/>
    </row>
    <row r="7" spans="1:11" ht="24.95" customHeight="1" x14ac:dyDescent="0.2">
      <c r="D7" s="9" t="s">
        <v>161</v>
      </c>
    </row>
    <row r="8" spans="1:11" ht="15" customHeight="1" x14ac:dyDescent="0.2">
      <c r="B8" s="10"/>
      <c r="C8" s="10"/>
      <c r="D8" s="9" t="s">
        <v>91</v>
      </c>
      <c r="E8" s="9"/>
      <c r="F8" s="9"/>
      <c r="G8" s="9"/>
      <c r="H8" s="9"/>
      <c r="I8" s="11"/>
      <c r="J8" s="11"/>
      <c r="K8" s="11"/>
    </row>
    <row r="9" spans="1:11" ht="24.95" customHeight="1" x14ac:dyDescent="0.2">
      <c r="B9" s="12" t="s">
        <v>5</v>
      </c>
      <c r="C9" s="30" t="s">
        <v>6</v>
      </c>
      <c r="D9" s="12" t="s">
        <v>7</v>
      </c>
      <c r="E9" s="9"/>
      <c r="F9" s="9"/>
      <c r="G9" s="9"/>
      <c r="H9" s="9"/>
      <c r="I9" s="11"/>
      <c r="J9" s="11"/>
      <c r="K9" s="11"/>
    </row>
    <row r="10" spans="1:11" ht="13.9" customHeight="1" x14ac:dyDescent="0.2">
      <c r="A10" s="14">
        <v>1</v>
      </c>
      <c r="B10" s="15" t="s">
        <v>8</v>
      </c>
      <c r="C10" s="17">
        <f>5000*C24</f>
        <v>5150</v>
      </c>
      <c r="D10" s="17">
        <f>ROUND(C10,0)</f>
        <v>5150</v>
      </c>
      <c r="E10" s="18"/>
    </row>
    <row r="11" spans="1:11" ht="13.9" customHeight="1" x14ac:dyDescent="0.2">
      <c r="A11" s="14">
        <v>2</v>
      </c>
      <c r="B11" s="15" t="s">
        <v>98</v>
      </c>
      <c r="C11" s="17">
        <f>2000*C24</f>
        <v>2060</v>
      </c>
      <c r="D11" s="17">
        <f>ROUND(C11,0)</f>
        <v>2060</v>
      </c>
      <c r="E11" s="18"/>
    </row>
    <row r="12" spans="1:11" ht="49.5" customHeight="1" x14ac:dyDescent="0.2">
      <c r="A12" s="14">
        <v>3</v>
      </c>
      <c r="B12" s="19" t="s">
        <v>162</v>
      </c>
      <c r="C12" s="17">
        <f>23000*C24</f>
        <v>23690</v>
      </c>
      <c r="D12" s="17">
        <f>ROUND(C12,0)</f>
        <v>23690</v>
      </c>
      <c r="E12" s="18"/>
    </row>
    <row r="13" spans="1:11" ht="17.45" customHeight="1" x14ac:dyDescent="0.2">
      <c r="A13" s="14">
        <v>4</v>
      </c>
      <c r="B13" s="15" t="s">
        <v>21</v>
      </c>
      <c r="C13" s="17">
        <f>70000*C24</f>
        <v>72100</v>
      </c>
      <c r="D13" s="17">
        <f>ROUND(C13,0)</f>
        <v>72100</v>
      </c>
      <c r="E13" s="18"/>
    </row>
    <row r="14" spans="1:11" ht="39.6" customHeight="1" x14ac:dyDescent="0.2">
      <c r="A14" s="14">
        <v>5</v>
      </c>
      <c r="B14" s="35" t="s">
        <v>22</v>
      </c>
      <c r="C14" s="71"/>
      <c r="D14" s="71" t="s">
        <v>157</v>
      </c>
      <c r="E14" s="18"/>
    </row>
    <row r="15" spans="1:11" ht="37.15" customHeight="1" x14ac:dyDescent="0.2">
      <c r="A15" s="14">
        <v>6</v>
      </c>
      <c r="B15" s="35" t="s">
        <v>30</v>
      </c>
      <c r="C15" s="17">
        <f>14000*C24</f>
        <v>14420</v>
      </c>
      <c r="D15" s="17">
        <f>ROUND(C15,0)</f>
        <v>14420</v>
      </c>
      <c r="E15" s="18"/>
    </row>
    <row r="16" spans="1:11" ht="45.6" customHeight="1" x14ac:dyDescent="0.2">
      <c r="A16" s="158" t="s">
        <v>222</v>
      </c>
      <c r="B16" s="19" t="s">
        <v>163</v>
      </c>
      <c r="C16" s="19"/>
      <c r="D16" s="71" t="s">
        <v>220</v>
      </c>
      <c r="E16" s="18"/>
    </row>
    <row r="17" spans="1:11" ht="35.1" customHeight="1" x14ac:dyDescent="0.2">
      <c r="B17" s="20" t="s">
        <v>164</v>
      </c>
      <c r="C17" s="20"/>
      <c r="D17" s="208">
        <f>SUM(D10:D13,D15+8240)</f>
        <v>125660</v>
      </c>
      <c r="K17" s="36"/>
    </row>
    <row r="18" spans="1:11" ht="38.450000000000003" customHeight="1" x14ac:dyDescent="0.2">
      <c r="B18" s="19" t="s">
        <v>159</v>
      </c>
      <c r="C18" s="196"/>
      <c r="D18" s="199"/>
    </row>
    <row r="19" spans="1:11" ht="20.100000000000001" customHeight="1" x14ac:dyDescent="0.2">
      <c r="B19" s="25"/>
      <c r="C19" s="25"/>
    </row>
    <row r="20" spans="1:11" ht="42" customHeight="1" x14ac:dyDescent="0.2">
      <c r="B20" s="126" t="s">
        <v>41</v>
      </c>
      <c r="C20" s="73"/>
    </row>
    <row r="21" spans="1:11" ht="20.100000000000001" hidden="1" customHeight="1" x14ac:dyDescent="0.2">
      <c r="B21" s="25"/>
      <c r="C21" s="25"/>
    </row>
    <row r="22" spans="1:11" hidden="1" x14ac:dyDescent="0.2"/>
    <row r="23" spans="1:11" hidden="1" x14ac:dyDescent="0.2"/>
    <row r="24" spans="1:11" customFormat="1" ht="25.5" hidden="1" x14ac:dyDescent="0.2">
      <c r="A24" s="1"/>
      <c r="B24" s="26" t="s">
        <v>12</v>
      </c>
      <c r="C24" s="27">
        <v>1.03</v>
      </c>
      <c r="D24" s="1"/>
      <c r="E24" s="1"/>
      <c r="F24" s="1"/>
      <c r="G24" s="1"/>
      <c r="H24" s="1"/>
      <c r="I24" s="1"/>
      <c r="J24" s="1"/>
      <c r="K24" s="1"/>
    </row>
    <row r="25" spans="1:11" hidden="1" x14ac:dyDescent="0.2"/>
    <row r="26" spans="1:11" hidden="1" x14ac:dyDescent="0.2"/>
  </sheetData>
  <mergeCells count="5">
    <mergeCell ref="A1:K1"/>
    <mergeCell ref="A2:K2"/>
    <mergeCell ref="A3:K3"/>
    <mergeCell ref="A4:K4"/>
    <mergeCell ref="A5:K5"/>
  </mergeCells>
  <pageMargins left="0.19066666666666668" right="0.75000000000000011" top="1" bottom="1" header="0.5" footer="0.5"/>
  <pageSetup scale="68" fitToWidth="0" fitToHeight="0" orientation="landscape" r:id="rId1"/>
  <headerFooter alignWithMargins="0">
    <oddFooter>&amp;L                                        &amp;8 2014 UCSD (RADY'S) PED ALLO RELATED</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2"/>
  <sheetViews>
    <sheetView topLeftCell="A10" zoomScaleNormal="100" workbookViewId="0">
      <selection activeCell="A10" sqref="A10"/>
    </sheetView>
  </sheetViews>
  <sheetFormatPr defaultColWidth="9" defaultRowHeight="12.75" x14ac:dyDescent="0.2"/>
  <cols>
    <col min="1" max="1" width="2.875" style="1" customWidth="1"/>
    <col min="2" max="2" width="41.75" style="1" customWidth="1"/>
    <col min="3" max="3" width="20.25" style="1" hidden="1" customWidth="1"/>
    <col min="4" max="4" width="20.62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3" spans="1:11" s="3" customFormat="1" ht="19.899999999999999" customHeight="1" x14ac:dyDescent="0.25">
      <c r="A3" s="222" t="s">
        <v>165</v>
      </c>
      <c r="B3" s="222"/>
      <c r="C3" s="222"/>
      <c r="D3" s="222"/>
      <c r="E3" s="222"/>
      <c r="F3" s="222"/>
      <c r="G3" s="222"/>
      <c r="H3" s="222"/>
      <c r="I3" s="222"/>
      <c r="J3" s="222"/>
      <c r="K3" s="222"/>
    </row>
    <row r="4" spans="1:11" s="3" customFormat="1" ht="19.899999999999999" customHeight="1" x14ac:dyDescent="0.25">
      <c r="A4" s="222" t="s">
        <v>145</v>
      </c>
      <c r="B4" s="222"/>
      <c r="C4" s="222"/>
      <c r="D4" s="222"/>
      <c r="E4" s="222"/>
      <c r="F4" s="222"/>
      <c r="G4" s="222"/>
      <c r="H4" s="222"/>
      <c r="I4" s="222"/>
      <c r="J4" s="222"/>
      <c r="K4" s="222"/>
    </row>
    <row r="5" spans="1:11" s="3" customFormat="1" ht="19.899999999999999" customHeight="1" x14ac:dyDescent="0.25">
      <c r="A5" s="222" t="s">
        <v>166</v>
      </c>
      <c r="B5" s="222"/>
      <c r="C5" s="222"/>
      <c r="D5" s="222"/>
      <c r="E5" s="222"/>
      <c r="F5" s="222"/>
      <c r="G5" s="222"/>
      <c r="H5" s="222"/>
      <c r="I5" s="222"/>
      <c r="J5" s="222"/>
      <c r="K5" s="222"/>
    </row>
    <row r="6" spans="1:11" s="3" customFormat="1" ht="19.899999999999999" customHeight="1" x14ac:dyDescent="0.25">
      <c r="A6" s="222" t="s">
        <v>1</v>
      </c>
      <c r="B6" s="222"/>
      <c r="C6" s="222"/>
      <c r="D6" s="222"/>
      <c r="E6" s="222"/>
      <c r="F6" s="222"/>
      <c r="G6" s="222"/>
      <c r="H6" s="222"/>
      <c r="I6" s="222"/>
      <c r="J6" s="222"/>
      <c r="K6" s="222"/>
    </row>
    <row r="7" spans="1:11" s="3" customFormat="1" ht="19.899999999999999" customHeight="1" x14ac:dyDescent="0.25">
      <c r="A7" s="222" t="s">
        <v>167</v>
      </c>
      <c r="B7" s="222"/>
      <c r="C7" s="222"/>
      <c r="D7" s="222"/>
      <c r="E7" s="222"/>
      <c r="F7" s="222"/>
      <c r="G7" s="222"/>
      <c r="H7" s="222"/>
      <c r="I7" s="222"/>
      <c r="J7" s="222"/>
      <c r="K7" s="222"/>
    </row>
    <row r="8" spans="1:11" s="3" customFormat="1" ht="19.899999999999999" customHeight="1" x14ac:dyDescent="0.25">
      <c r="A8" s="222" t="s">
        <v>148</v>
      </c>
      <c r="B8" s="222"/>
      <c r="C8" s="222"/>
      <c r="D8" s="222"/>
      <c r="E8" s="222"/>
      <c r="F8" s="222"/>
      <c r="G8" s="222"/>
      <c r="H8" s="222"/>
      <c r="I8" s="222"/>
      <c r="J8" s="222"/>
      <c r="K8" s="222"/>
    </row>
    <row r="9" spans="1:11" s="4" customFormat="1" ht="30" customHeight="1" x14ac:dyDescent="0.25">
      <c r="B9" s="5"/>
      <c r="C9" s="5"/>
      <c r="D9" s="6"/>
      <c r="E9" s="6"/>
      <c r="F9" s="6"/>
      <c r="G9" s="6"/>
    </row>
    <row r="10" spans="1:11" s="4" customFormat="1" ht="30" customHeight="1" x14ac:dyDescent="0.25">
      <c r="B10" s="5"/>
      <c r="C10" s="5"/>
    </row>
    <row r="11" spans="1:11" ht="24.95" customHeight="1" x14ac:dyDescent="0.2">
      <c r="B11" s="7"/>
      <c r="C11" s="7"/>
      <c r="D11" s="8"/>
    </row>
    <row r="12" spans="1:11" ht="24.95" customHeight="1" x14ac:dyDescent="0.2">
      <c r="D12" s="9" t="s">
        <v>168</v>
      </c>
    </row>
    <row r="13" spans="1:11" ht="24.95" customHeight="1" x14ac:dyDescent="0.2">
      <c r="B13" s="10"/>
      <c r="C13" s="10"/>
      <c r="D13" s="9" t="s">
        <v>91</v>
      </c>
      <c r="E13" s="9"/>
      <c r="F13" s="9"/>
      <c r="G13" s="9"/>
      <c r="H13" s="9"/>
      <c r="I13" s="11"/>
      <c r="J13" s="11"/>
      <c r="K13" s="11"/>
    </row>
    <row r="14" spans="1:11" ht="24.95" customHeight="1" x14ac:dyDescent="0.2">
      <c r="B14" s="12" t="s">
        <v>5</v>
      </c>
      <c r="C14" s="30" t="s">
        <v>6</v>
      </c>
      <c r="D14" s="12" t="s">
        <v>7</v>
      </c>
      <c r="E14" s="9"/>
      <c r="F14" s="9"/>
      <c r="G14" s="9"/>
      <c r="H14" s="9"/>
      <c r="I14" s="11"/>
      <c r="J14" s="11"/>
      <c r="K14" s="11"/>
    </row>
    <row r="15" spans="1:11" ht="13.9" customHeight="1" x14ac:dyDescent="0.2">
      <c r="A15" s="14">
        <v>1</v>
      </c>
      <c r="B15" s="15" t="s">
        <v>8</v>
      </c>
      <c r="C15" s="17">
        <f>5000*C29</f>
        <v>5150</v>
      </c>
      <c r="D15" s="17">
        <f>ROUND(C15,0)</f>
        <v>5150</v>
      </c>
      <c r="E15" s="18"/>
    </row>
    <row r="16" spans="1:11" ht="13.9" customHeight="1" x14ac:dyDescent="0.2">
      <c r="A16" s="14">
        <v>2</v>
      </c>
      <c r="B16" s="15" t="s">
        <v>98</v>
      </c>
      <c r="C16" s="17">
        <f>4000*C29</f>
        <v>4120</v>
      </c>
      <c r="D16" s="17">
        <f>ROUND(C16,0)</f>
        <v>4120</v>
      </c>
      <c r="E16" s="18"/>
    </row>
    <row r="17" spans="1:11" ht="38.25" x14ac:dyDescent="0.2">
      <c r="A17" s="14">
        <v>3</v>
      </c>
      <c r="B17" s="19" t="s">
        <v>162</v>
      </c>
      <c r="C17" s="17">
        <f>23000*C29</f>
        <v>23690</v>
      </c>
      <c r="D17" s="17">
        <f>ROUND(C17,0)</f>
        <v>23690</v>
      </c>
      <c r="E17" s="18"/>
    </row>
    <row r="18" spans="1:11" ht="16.899999999999999" customHeight="1" x14ac:dyDescent="0.2">
      <c r="A18" s="14">
        <v>4</v>
      </c>
      <c r="B18" s="15" t="s">
        <v>21</v>
      </c>
      <c r="C18" s="17">
        <f>70000*C29</f>
        <v>72100</v>
      </c>
      <c r="D18" s="17">
        <f>ROUND(C18,0)</f>
        <v>72100</v>
      </c>
      <c r="E18" s="18"/>
    </row>
    <row r="19" spans="1:11" ht="40.15" customHeight="1" x14ac:dyDescent="0.2">
      <c r="A19" s="14">
        <v>5</v>
      </c>
      <c r="B19" s="35" t="s">
        <v>22</v>
      </c>
      <c r="C19" s="35"/>
      <c r="D19" s="71" t="s">
        <v>157</v>
      </c>
      <c r="E19" s="18"/>
    </row>
    <row r="20" spans="1:11" ht="31.15" customHeight="1" x14ac:dyDescent="0.2">
      <c r="A20" s="14">
        <v>6</v>
      </c>
      <c r="B20" s="35" t="s">
        <v>30</v>
      </c>
      <c r="C20" s="17">
        <f>14000*C29</f>
        <v>14420</v>
      </c>
      <c r="D20" s="17">
        <f>ROUND(C20,0)</f>
        <v>14420</v>
      </c>
      <c r="E20" s="18"/>
    </row>
    <row r="21" spans="1:11" ht="52.9" customHeight="1" x14ac:dyDescent="0.2">
      <c r="A21" s="118"/>
      <c r="B21" s="19" t="s">
        <v>163</v>
      </c>
      <c r="C21" s="19"/>
      <c r="D21" s="71" t="s">
        <v>221</v>
      </c>
      <c r="E21" s="18"/>
    </row>
    <row r="22" spans="1:11" ht="35.1" customHeight="1" x14ac:dyDescent="0.2">
      <c r="B22" s="20" t="s">
        <v>169</v>
      </c>
      <c r="C22" s="20"/>
      <c r="D22" s="21">
        <f>SUM(D15:D21)+8240</f>
        <v>127720</v>
      </c>
      <c r="K22" s="36"/>
    </row>
    <row r="23" spans="1:11" ht="22.9" customHeight="1" x14ac:dyDescent="0.2">
      <c r="B23" s="20"/>
      <c r="C23" s="20"/>
      <c r="D23" s="21"/>
      <c r="K23" s="36"/>
    </row>
    <row r="24" spans="1:11" ht="33.6" customHeight="1" x14ac:dyDescent="0.2">
      <c r="B24" s="19" t="s">
        <v>159</v>
      </c>
      <c r="C24" s="196"/>
      <c r="D24" s="199"/>
    </row>
    <row r="25" spans="1:11" ht="20.100000000000001" customHeight="1" x14ac:dyDescent="0.2">
      <c r="B25" s="25"/>
      <c r="C25" s="25"/>
    </row>
    <row r="26" spans="1:11" ht="42" customHeight="1" x14ac:dyDescent="0.2">
      <c r="B26" s="126" t="s">
        <v>41</v>
      </c>
      <c r="C26" s="73"/>
    </row>
    <row r="27" spans="1:11" customFormat="1" ht="20.100000000000001" hidden="1" customHeight="1" x14ac:dyDescent="0.2">
      <c r="A27" s="1"/>
      <c r="B27" s="25"/>
      <c r="C27" s="25"/>
      <c r="D27" s="1"/>
      <c r="E27" s="1"/>
      <c r="F27" s="1"/>
      <c r="G27" s="1"/>
      <c r="H27" s="1"/>
      <c r="I27" s="1"/>
      <c r="J27" s="1"/>
      <c r="K27" s="1"/>
    </row>
    <row r="28" spans="1:11" customFormat="1" ht="20.100000000000001" hidden="1" customHeight="1" x14ac:dyDescent="0.2">
      <c r="A28" s="1"/>
      <c r="B28" s="25"/>
      <c r="C28" s="25"/>
      <c r="D28" s="1"/>
      <c r="E28" s="1"/>
      <c r="F28" s="1"/>
      <c r="G28" s="1"/>
      <c r="H28" s="1"/>
      <c r="I28" s="1"/>
      <c r="J28" s="1"/>
      <c r="K28" s="1"/>
    </row>
    <row r="29" spans="1:11" ht="25.5" hidden="1" x14ac:dyDescent="0.2">
      <c r="B29" s="26" t="s">
        <v>12</v>
      </c>
      <c r="C29" s="27">
        <v>1.03</v>
      </c>
    </row>
    <row r="30" spans="1:11" hidden="1" x14ac:dyDescent="0.2"/>
    <row r="31" spans="1:11" hidden="1" x14ac:dyDescent="0.2"/>
    <row r="32" spans="1:11" customFormat="1" x14ac:dyDescent="0.2">
      <c r="A32" s="1"/>
      <c r="B32" s="46"/>
      <c r="C32" s="46"/>
      <c r="D32" s="1"/>
      <c r="E32" s="1"/>
      <c r="F32" s="1"/>
      <c r="G32" s="1"/>
      <c r="H32" s="1"/>
      <c r="I32" s="1"/>
      <c r="J32" s="1"/>
      <c r="K32" s="1"/>
    </row>
  </sheetData>
  <mergeCells count="6">
    <mergeCell ref="A8:K8"/>
    <mergeCell ref="A3:K3"/>
    <mergeCell ref="A4:K4"/>
    <mergeCell ref="A5:K5"/>
    <mergeCell ref="A6:K6"/>
    <mergeCell ref="A7:K7"/>
  </mergeCells>
  <pageMargins left="0.75" right="0.75" top="1" bottom="1" header="0.5" footer="0.5"/>
  <pageSetup scale="62" fitToWidth="0" fitToHeight="0" orientation="landscape" r:id="rId1"/>
  <headerFooter alignWithMargins="0">
    <oddFooter xml:space="preserve">&amp;C&amp;8                                            2014 UCSD (RADY'S) PEDS ALLO UNRELATED &amp;10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activeCell="A12" sqref="A12"/>
    </sheetView>
  </sheetViews>
  <sheetFormatPr defaultRowHeight="12" x14ac:dyDescent="0.15"/>
  <cols>
    <col min="1" max="1" width="4.375" customWidth="1"/>
    <col min="2" max="2" width="34.5" customWidth="1"/>
    <col min="3" max="3" width="15.125" hidden="1" customWidth="1"/>
    <col min="4" max="4" width="18.5" customWidth="1"/>
    <col min="5" max="5" width="12.125" customWidth="1"/>
    <col min="6" max="6" width="10.25" customWidth="1"/>
    <col min="7" max="7" width="10.5" customWidth="1"/>
    <col min="8" max="8" width="8.875" customWidth="1"/>
    <col min="9" max="9" width="16" customWidth="1"/>
    <col min="10" max="10" width="6.5" customWidth="1"/>
    <col min="11" max="11" width="11.5" customWidth="1"/>
    <col min="12" max="12" width="8.875" customWidth="1"/>
  </cols>
  <sheetData>
    <row r="1" spans="1:11" ht="12.75" x14ac:dyDescent="0.2">
      <c r="A1" s="1"/>
      <c r="B1" s="1"/>
      <c r="C1" s="1"/>
      <c r="D1" s="1"/>
      <c r="E1" s="1"/>
      <c r="F1" s="1"/>
      <c r="G1" s="1"/>
      <c r="H1" s="1"/>
      <c r="I1" s="1"/>
      <c r="J1" s="1"/>
      <c r="K1" s="1"/>
    </row>
    <row r="2" spans="1:11" ht="19.899999999999999" customHeight="1" x14ac:dyDescent="0.25">
      <c r="A2" s="222" t="s">
        <v>165</v>
      </c>
      <c r="B2" s="222"/>
      <c r="C2" s="222"/>
      <c r="D2" s="222"/>
      <c r="E2" s="222"/>
      <c r="F2" s="222"/>
      <c r="G2" s="222"/>
      <c r="H2" s="222"/>
      <c r="I2" s="222"/>
      <c r="J2" s="222"/>
      <c r="K2" s="222"/>
    </row>
    <row r="3" spans="1:11" ht="19.899999999999999" customHeight="1" x14ac:dyDescent="0.25">
      <c r="A3" s="222" t="s">
        <v>145</v>
      </c>
      <c r="B3" s="222"/>
      <c r="C3" s="222"/>
      <c r="D3" s="222"/>
      <c r="E3" s="222"/>
      <c r="F3" s="222"/>
      <c r="G3" s="222"/>
      <c r="H3" s="222"/>
      <c r="I3" s="222"/>
      <c r="J3" s="222"/>
      <c r="K3" s="222"/>
    </row>
    <row r="4" spans="1:11" ht="19.899999999999999" customHeight="1" x14ac:dyDescent="0.25">
      <c r="A4" s="222" t="s">
        <v>146</v>
      </c>
      <c r="B4" s="222"/>
      <c r="C4" s="222"/>
      <c r="D4" s="222"/>
      <c r="E4" s="222"/>
      <c r="F4" s="222"/>
      <c r="G4" s="222"/>
      <c r="H4" s="222"/>
      <c r="I4" s="222"/>
      <c r="J4" s="222"/>
      <c r="K4" s="222"/>
    </row>
    <row r="5" spans="1:11" ht="19.899999999999999" customHeight="1" x14ac:dyDescent="0.25">
      <c r="A5" s="222" t="s">
        <v>1</v>
      </c>
      <c r="B5" s="222"/>
      <c r="C5" s="222"/>
      <c r="D5" s="222"/>
      <c r="E5" s="222"/>
      <c r="F5" s="222"/>
      <c r="G5" s="222"/>
      <c r="H5" s="222"/>
      <c r="I5" s="222"/>
      <c r="J5" s="222"/>
      <c r="K5" s="222"/>
    </row>
    <row r="6" spans="1:11" ht="19.899999999999999" customHeight="1" x14ac:dyDescent="0.25">
      <c r="A6" s="222" t="s">
        <v>170</v>
      </c>
      <c r="B6" s="222"/>
      <c r="C6" s="222"/>
      <c r="D6" s="222"/>
      <c r="E6" s="222"/>
      <c r="F6" s="222"/>
      <c r="G6" s="222"/>
      <c r="H6" s="222"/>
      <c r="I6" s="222"/>
      <c r="J6" s="222"/>
      <c r="K6" s="222"/>
    </row>
    <row r="7" spans="1:11" ht="19.899999999999999" customHeight="1" x14ac:dyDescent="0.25">
      <c r="A7" s="222" t="s">
        <v>148</v>
      </c>
      <c r="B7" s="222"/>
      <c r="C7" s="222"/>
      <c r="D7" s="222"/>
      <c r="E7" s="222"/>
      <c r="F7" s="222"/>
      <c r="G7" s="222"/>
      <c r="H7" s="222"/>
      <c r="I7" s="222"/>
      <c r="J7" s="222"/>
      <c r="K7" s="222"/>
    </row>
    <row r="8" spans="1:11" ht="15" x14ac:dyDescent="0.25">
      <c r="A8" s="4"/>
      <c r="B8" s="5"/>
      <c r="C8" s="5"/>
      <c r="D8" s="4"/>
      <c r="E8" s="4"/>
      <c r="F8" s="4"/>
      <c r="G8" s="4"/>
      <c r="H8" s="4"/>
      <c r="I8" s="4"/>
      <c r="J8" s="4"/>
      <c r="K8" s="4"/>
    </row>
    <row r="9" spans="1:11" ht="15" x14ac:dyDescent="0.25">
      <c r="A9" s="4"/>
      <c r="B9" s="5"/>
      <c r="C9" s="5"/>
      <c r="D9" s="4"/>
      <c r="E9" s="4"/>
      <c r="F9" s="4"/>
      <c r="G9" s="4"/>
      <c r="H9" s="4"/>
      <c r="I9" s="4"/>
      <c r="J9" s="4"/>
      <c r="K9" s="4"/>
    </row>
    <row r="10" spans="1:11" ht="15" x14ac:dyDescent="0.25">
      <c r="A10" s="4"/>
      <c r="B10" s="5"/>
      <c r="C10" s="5"/>
      <c r="D10" s="4"/>
      <c r="E10" s="4"/>
      <c r="F10" s="4"/>
      <c r="G10" s="4"/>
      <c r="H10" s="4"/>
      <c r="I10" s="4"/>
      <c r="J10" s="4"/>
      <c r="K10" s="4"/>
    </row>
    <row r="11" spans="1:11" ht="12.75" x14ac:dyDescent="0.2">
      <c r="A11" s="1"/>
      <c r="B11" s="7"/>
      <c r="C11" s="7"/>
      <c r="D11" s="1"/>
      <c r="E11" s="1"/>
      <c r="F11" s="1"/>
      <c r="G11" s="1"/>
      <c r="H11" s="1"/>
      <c r="I11" s="1"/>
      <c r="J11" s="1"/>
      <c r="K11" s="1"/>
    </row>
    <row r="12" spans="1:11" ht="12.75" x14ac:dyDescent="0.2">
      <c r="A12" s="1"/>
      <c r="B12" s="1"/>
      <c r="C12" s="1"/>
      <c r="D12" s="8" t="s">
        <v>91</v>
      </c>
      <c r="E12" s="223"/>
      <c r="F12" s="223"/>
      <c r="G12" s="223"/>
      <c r="H12" s="223"/>
      <c r="I12" s="223"/>
      <c r="J12" s="223"/>
      <c r="K12" s="223"/>
    </row>
    <row r="13" spans="1:11" ht="12.75" x14ac:dyDescent="0.2">
      <c r="A13" s="1"/>
      <c r="B13" s="10"/>
      <c r="C13" s="10"/>
      <c r="D13" s="9" t="s">
        <v>224</v>
      </c>
      <c r="E13" s="232"/>
      <c r="F13" s="232"/>
      <c r="G13" s="232"/>
      <c r="H13" s="232"/>
      <c r="I13" s="232"/>
      <c r="J13" s="232"/>
      <c r="K13" s="11"/>
    </row>
    <row r="14" spans="1:11" ht="38.25" x14ac:dyDescent="0.2">
      <c r="A14" s="1"/>
      <c r="B14" s="12" t="s">
        <v>5</v>
      </c>
      <c r="C14" s="30" t="s">
        <v>6</v>
      </c>
      <c r="D14" s="12" t="s">
        <v>7</v>
      </c>
      <c r="E14" s="9"/>
      <c r="F14" s="9"/>
      <c r="G14" s="9"/>
      <c r="H14" s="9"/>
      <c r="I14" s="11"/>
      <c r="J14" s="11"/>
      <c r="K14" s="11"/>
    </row>
    <row r="15" spans="1:11" ht="13.9" customHeight="1" x14ac:dyDescent="0.2">
      <c r="A15" s="14">
        <v>1</v>
      </c>
      <c r="B15" s="15" t="s">
        <v>8</v>
      </c>
      <c r="C15" s="17">
        <f>8068*C26</f>
        <v>8310.0400000000009</v>
      </c>
      <c r="D15" s="17">
        <f>ROUND(C15,0)</f>
        <v>8310</v>
      </c>
      <c r="E15" s="18"/>
      <c r="F15" s="1"/>
      <c r="G15" s="1"/>
      <c r="H15" s="1"/>
      <c r="I15" s="1"/>
      <c r="J15" s="1"/>
      <c r="K15" s="1"/>
    </row>
    <row r="16" spans="1:11" ht="13.9" customHeight="1" x14ac:dyDescent="0.2">
      <c r="A16" s="14">
        <v>2</v>
      </c>
      <c r="B16" s="15" t="s">
        <v>21</v>
      </c>
      <c r="C16" s="17">
        <f>123633*C26</f>
        <v>127341.99</v>
      </c>
      <c r="D16" s="17">
        <f>ROUND(C16,0)</f>
        <v>127342</v>
      </c>
      <c r="E16" s="18"/>
      <c r="F16" s="1"/>
      <c r="G16" s="1"/>
      <c r="H16" s="1"/>
      <c r="I16" s="1"/>
      <c r="J16" s="1"/>
      <c r="K16" s="1"/>
    </row>
    <row r="17" spans="1:11" ht="46.15" customHeight="1" x14ac:dyDescent="0.2">
      <c r="A17" s="14">
        <v>3</v>
      </c>
      <c r="B17" s="35" t="s">
        <v>22</v>
      </c>
      <c r="C17" s="17">
        <f>95726*C26</f>
        <v>98597.78</v>
      </c>
      <c r="D17" s="17">
        <f>ROUND(C17,0)</f>
        <v>98598</v>
      </c>
      <c r="E17" s="18"/>
      <c r="F17" s="1"/>
      <c r="G17" s="1"/>
      <c r="H17" s="1"/>
      <c r="I17" s="1"/>
      <c r="J17" s="1"/>
      <c r="K17" s="1"/>
    </row>
    <row r="18" spans="1:11" ht="39" customHeight="1" x14ac:dyDescent="0.2">
      <c r="A18" s="14">
        <v>4</v>
      </c>
      <c r="B18" s="35" t="s">
        <v>30</v>
      </c>
      <c r="C18" s="17">
        <f>21516*C26</f>
        <v>22161.48</v>
      </c>
      <c r="D18" s="17">
        <f>ROUND(C18,0)</f>
        <v>22161</v>
      </c>
      <c r="E18" s="18"/>
      <c r="F18" s="1"/>
      <c r="G18" s="1"/>
      <c r="H18" s="1"/>
      <c r="I18" s="1"/>
      <c r="J18" s="1"/>
      <c r="K18" s="1"/>
    </row>
    <row r="19" spans="1:11" ht="12.75" x14ac:dyDescent="0.2">
      <c r="A19" s="1"/>
      <c r="B19" s="20" t="s">
        <v>31</v>
      </c>
      <c r="C19" s="20"/>
      <c r="D19" s="21">
        <f>SUM(D15:D18)</f>
        <v>256411</v>
      </c>
      <c r="E19" s="1"/>
      <c r="F19" s="1"/>
      <c r="G19" s="1"/>
      <c r="H19" s="1"/>
      <c r="I19" s="1"/>
      <c r="J19" s="1"/>
      <c r="K19" s="36"/>
    </row>
    <row r="20" spans="1:11" ht="12.75" hidden="1" x14ac:dyDescent="0.2">
      <c r="A20" s="1"/>
      <c r="B20" s="1"/>
      <c r="C20" s="1"/>
      <c r="D20" s="1"/>
      <c r="E20" s="1"/>
      <c r="F20" s="1"/>
      <c r="G20" s="1"/>
      <c r="H20" s="1"/>
      <c r="I20" s="1"/>
      <c r="J20" s="1"/>
      <c r="K20" s="1"/>
    </row>
    <row r="21" spans="1:11" hidden="1" x14ac:dyDescent="0.15"/>
    <row r="22" spans="1:11" hidden="1" x14ac:dyDescent="0.15"/>
    <row r="23" spans="1:11" hidden="1" x14ac:dyDescent="0.15"/>
    <row r="24" spans="1:11" hidden="1" x14ac:dyDescent="0.15"/>
    <row r="25" spans="1:11" hidden="1" x14ac:dyDescent="0.15"/>
    <row r="26" spans="1:11" ht="25.5" hidden="1" x14ac:dyDescent="0.2">
      <c r="B26" s="26" t="s">
        <v>12</v>
      </c>
      <c r="C26" s="27">
        <v>1.03</v>
      </c>
    </row>
    <row r="27" spans="1:11" hidden="1" x14ac:dyDescent="0.15"/>
  </sheetData>
  <mergeCells count="8">
    <mergeCell ref="E12:K12"/>
    <mergeCell ref="E13:J13"/>
    <mergeCell ref="A2:K2"/>
    <mergeCell ref="A3:K3"/>
    <mergeCell ref="A4:K4"/>
    <mergeCell ref="A5:K5"/>
    <mergeCell ref="A6:K6"/>
    <mergeCell ref="A7:K7"/>
  </mergeCells>
  <pageMargins left="0.25" right="0.25" top="0.75" bottom="0.75" header="0.30000000000000004" footer="0.30000000000000004"/>
  <pageSetup scale="80" fitToWidth="0" fitToHeight="0" orientation="landscape" r:id="rId1"/>
  <headerFooter>
    <oddFooter>&amp;C&amp;8 2014 UCSD (RADY'S) PED LIVING LIVER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zoomScaleNormal="100" workbookViewId="0">
      <selection activeCell="B13" sqref="B13"/>
    </sheetView>
  </sheetViews>
  <sheetFormatPr defaultColWidth="9" defaultRowHeight="12.75" x14ac:dyDescent="0.2"/>
  <cols>
    <col min="1" max="1" width="2.875" style="1" customWidth="1"/>
    <col min="2" max="2" width="42" style="1" customWidth="1"/>
    <col min="3" max="3" width="16.75" style="1" hidden="1" customWidth="1"/>
    <col min="4" max="4" width="26.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171</v>
      </c>
      <c r="B2" s="222"/>
      <c r="C2" s="222"/>
      <c r="D2" s="222"/>
      <c r="E2" s="222"/>
      <c r="F2" s="222"/>
      <c r="G2" s="222"/>
      <c r="H2" s="222"/>
      <c r="I2" s="222"/>
      <c r="J2" s="222"/>
    </row>
    <row r="3" spans="1:10" s="3" customFormat="1" ht="19.899999999999999" customHeight="1" x14ac:dyDescent="0.25">
      <c r="A3" s="222" t="s">
        <v>172</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173</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30" customHeight="1" x14ac:dyDescent="0.25">
      <c r="B7" s="5"/>
      <c r="C7" s="5"/>
    </row>
    <row r="8" spans="1:10" s="4" customFormat="1" ht="11.25" customHeight="1" x14ac:dyDescent="0.25">
      <c r="B8" s="5"/>
      <c r="C8" s="5"/>
    </row>
    <row r="9" spans="1:10" ht="18.75" customHeight="1" x14ac:dyDescent="0.2">
      <c r="B9" s="7"/>
      <c r="C9" s="7"/>
      <c r="D9" s="8"/>
    </row>
    <row r="10" spans="1:10" ht="18.75" customHeight="1" x14ac:dyDescent="0.2">
      <c r="D10" s="9" t="s">
        <v>50</v>
      </c>
    </row>
    <row r="11" spans="1:10" ht="11.45" customHeight="1" x14ac:dyDescent="0.2">
      <c r="B11" s="10"/>
      <c r="C11" s="10"/>
      <c r="D11" s="9" t="s">
        <v>174</v>
      </c>
      <c r="E11" s="9"/>
      <c r="F11" s="9"/>
      <c r="G11" s="9"/>
      <c r="H11" s="9"/>
      <c r="I11" s="11"/>
      <c r="J11" s="11"/>
    </row>
    <row r="12" spans="1:10" ht="24.95" customHeight="1" x14ac:dyDescent="0.2">
      <c r="B12" s="12" t="s">
        <v>5</v>
      </c>
      <c r="C12" s="30" t="s">
        <v>6</v>
      </c>
      <c r="D12" s="12" t="s">
        <v>7</v>
      </c>
      <c r="E12" s="9"/>
      <c r="F12" s="9"/>
      <c r="G12" s="9"/>
      <c r="H12" s="9"/>
      <c r="I12" s="11"/>
      <c r="J12" s="11"/>
    </row>
    <row r="13" spans="1:10" ht="13.9" customHeight="1" x14ac:dyDescent="0.2">
      <c r="A13" s="14">
        <v>1</v>
      </c>
      <c r="B13" s="15" t="s">
        <v>8</v>
      </c>
      <c r="C13" s="17">
        <f>7000*C29</f>
        <v>7210</v>
      </c>
      <c r="D13" s="17">
        <f>ROUND(C13,0)</f>
        <v>7210</v>
      </c>
    </row>
    <row r="14" spans="1:10" ht="13.9" customHeight="1" x14ac:dyDescent="0.2">
      <c r="A14" s="14">
        <v>2</v>
      </c>
      <c r="B14" s="1" t="s">
        <v>98</v>
      </c>
      <c r="C14" s="17">
        <f>25000*C29</f>
        <v>25750</v>
      </c>
      <c r="D14" s="17">
        <f>ROUND(C14,0)</f>
        <v>25750</v>
      </c>
    </row>
    <row r="15" spans="1:10" ht="40.5" customHeight="1" x14ac:dyDescent="0.2">
      <c r="A15" s="14">
        <v>3</v>
      </c>
      <c r="B15" s="19" t="s">
        <v>175</v>
      </c>
      <c r="C15" s="19"/>
      <c r="D15" s="71" t="s">
        <v>176</v>
      </c>
    </row>
    <row r="16" spans="1:10" ht="23.45" customHeight="1" x14ac:dyDescent="0.2">
      <c r="A16" s="14">
        <v>4</v>
      </c>
      <c r="B16" s="15" t="s">
        <v>21</v>
      </c>
      <c r="C16" s="17">
        <f>45000*C29</f>
        <v>46350</v>
      </c>
      <c r="D16" s="17">
        <f>ROUND(C16,0)</f>
        <v>46350</v>
      </c>
    </row>
    <row r="17" spans="1:5" ht="36.6" customHeight="1" x14ac:dyDescent="0.2">
      <c r="A17" s="14">
        <v>5</v>
      </c>
      <c r="B17" s="35" t="s">
        <v>22</v>
      </c>
      <c r="C17" s="17">
        <f>116000*C29</f>
        <v>119480</v>
      </c>
      <c r="D17" s="17">
        <f>ROUND(C17,0)</f>
        <v>119480</v>
      </c>
    </row>
    <row r="18" spans="1:5" ht="35.1" customHeight="1" x14ac:dyDescent="0.2">
      <c r="A18" s="14">
        <v>6</v>
      </c>
      <c r="B18" s="35" t="s">
        <v>30</v>
      </c>
      <c r="C18" s="17">
        <f>21500*C29</f>
        <v>22145</v>
      </c>
      <c r="D18" s="17">
        <f>ROUND(C18,0)</f>
        <v>22145</v>
      </c>
    </row>
    <row r="19" spans="1:5" ht="35.1" customHeight="1" x14ac:dyDescent="0.2">
      <c r="B19" s="20" t="s">
        <v>54</v>
      </c>
      <c r="C19" s="20"/>
      <c r="D19" s="21">
        <f>SUM(D16:D18,D13:D14)</f>
        <v>220935</v>
      </c>
    </row>
    <row r="20" spans="1:5" ht="14.25" customHeight="1" x14ac:dyDescent="0.2"/>
    <row r="21" spans="1:5" ht="20.100000000000001" customHeight="1" x14ac:dyDescent="0.2">
      <c r="B21" s="15" t="s">
        <v>10</v>
      </c>
      <c r="C21" s="22"/>
      <c r="D21" s="23">
        <v>170</v>
      </c>
    </row>
    <row r="22" spans="1:5" ht="15" customHeight="1" x14ac:dyDescent="0.2">
      <c r="B22" s="24"/>
      <c r="C22" s="24"/>
    </row>
    <row r="23" spans="1:5" ht="30" customHeight="1" x14ac:dyDescent="0.2">
      <c r="B23" s="246" t="s">
        <v>177</v>
      </c>
      <c r="C23" s="127"/>
      <c r="D23" s="118"/>
      <c r="E23" s="247" t="s">
        <v>178</v>
      </c>
    </row>
    <row r="24" spans="1:5" ht="20.25" customHeight="1" x14ac:dyDescent="0.2">
      <c r="B24" s="246"/>
      <c r="C24" s="127"/>
      <c r="D24" s="118"/>
      <c r="E24" s="247"/>
    </row>
    <row r="25" spans="1:5" hidden="1" x14ac:dyDescent="0.2"/>
    <row r="26" spans="1:5" hidden="1" x14ac:dyDescent="0.2">
      <c r="B26" s="46"/>
      <c r="C26" s="46"/>
    </row>
    <row r="27" spans="1:5" hidden="1" x14ac:dyDescent="0.2"/>
    <row r="28" spans="1:5" hidden="1" x14ac:dyDescent="0.2"/>
    <row r="29" spans="1:5" ht="25.5" hidden="1" x14ac:dyDescent="0.2">
      <c r="B29" s="26" t="s">
        <v>12</v>
      </c>
      <c r="C29" s="27">
        <v>1.03</v>
      </c>
    </row>
    <row r="30" spans="1:5" hidden="1" x14ac:dyDescent="0.2"/>
    <row r="31" spans="1:5" hidden="1" x14ac:dyDescent="0.2"/>
    <row r="32" spans="1:5" hidden="1" x14ac:dyDescent="0.2"/>
  </sheetData>
  <mergeCells count="6">
    <mergeCell ref="A2:J2"/>
    <mergeCell ref="A3:J3"/>
    <mergeCell ref="A4:J4"/>
    <mergeCell ref="A5:J5"/>
    <mergeCell ref="B23:B24"/>
    <mergeCell ref="E23:E24"/>
  </mergeCells>
  <pageMargins left="0.25" right="0.25" top="0.25" bottom="0.25" header="0.25" footer="0.25"/>
  <pageSetup scale="78" fitToWidth="0" fitToHeight="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0" zoomScaleNormal="100" workbookViewId="0">
      <selection activeCell="F18" sqref="F18"/>
    </sheetView>
  </sheetViews>
  <sheetFormatPr defaultColWidth="9" defaultRowHeight="12.75" x14ac:dyDescent="0.2"/>
  <cols>
    <col min="1" max="1" width="2.875" style="1" customWidth="1"/>
    <col min="2" max="2" width="42.375" style="1" customWidth="1"/>
    <col min="3" max="3" width="21.375" style="1" hidden="1" customWidth="1"/>
    <col min="4" max="4" width="26.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1" spans="1:10" ht="19.899999999999999" customHeight="1" x14ac:dyDescent="0.2"/>
    <row r="2" spans="1:10" s="3" customFormat="1" ht="19.899999999999999" customHeight="1" x14ac:dyDescent="0.25">
      <c r="A2" s="222" t="s">
        <v>171</v>
      </c>
      <c r="B2" s="222"/>
      <c r="C2" s="222"/>
      <c r="D2" s="222"/>
      <c r="E2" s="222"/>
      <c r="F2" s="222"/>
      <c r="G2" s="222"/>
      <c r="H2" s="222"/>
      <c r="I2" s="222"/>
      <c r="J2" s="222"/>
    </row>
    <row r="3" spans="1:10" s="3" customFormat="1" ht="19.899999999999999" customHeight="1" x14ac:dyDescent="0.25">
      <c r="A3" s="222" t="s">
        <v>179</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173</v>
      </c>
      <c r="B5" s="222"/>
      <c r="C5" s="222"/>
      <c r="D5" s="222"/>
      <c r="E5" s="222"/>
      <c r="F5" s="222"/>
      <c r="G5" s="222"/>
      <c r="H5" s="222"/>
      <c r="I5" s="222"/>
      <c r="J5" s="222"/>
    </row>
    <row r="6" spans="1:10" s="3" customFormat="1" ht="12.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15" x14ac:dyDescent="0.25">
      <c r="B9" s="5"/>
      <c r="C9" s="5"/>
    </row>
    <row r="10" spans="1:10" ht="18.75" customHeight="1" x14ac:dyDescent="0.2">
      <c r="B10" s="7"/>
      <c r="C10" s="7"/>
      <c r="D10" s="8"/>
    </row>
    <row r="11" spans="1:10" ht="18.75" customHeight="1" x14ac:dyDescent="0.2">
      <c r="D11" s="9" t="s">
        <v>44</v>
      </c>
    </row>
    <row r="12" spans="1:10" ht="12" customHeight="1" x14ac:dyDescent="0.2">
      <c r="B12" s="10"/>
      <c r="C12" s="10"/>
      <c r="D12" s="9" t="s">
        <v>180</v>
      </c>
      <c r="E12" s="9"/>
      <c r="F12" s="9"/>
      <c r="G12" s="9"/>
      <c r="H12" s="9"/>
      <c r="I12" s="11"/>
      <c r="J12" s="11"/>
    </row>
    <row r="13" spans="1:10" ht="24.95" customHeight="1" x14ac:dyDescent="0.2">
      <c r="B13" s="12" t="s">
        <v>5</v>
      </c>
      <c r="C13" s="30" t="s">
        <v>6</v>
      </c>
      <c r="D13" s="12" t="s">
        <v>7</v>
      </c>
      <c r="E13" s="9"/>
      <c r="F13" s="9"/>
      <c r="G13" s="9"/>
      <c r="H13" s="9"/>
      <c r="I13" s="11"/>
      <c r="J13" s="11"/>
    </row>
    <row r="14" spans="1:10" ht="15" customHeight="1" x14ac:dyDescent="0.2">
      <c r="A14" s="14">
        <v>1</v>
      </c>
      <c r="B14" s="15" t="s">
        <v>8</v>
      </c>
      <c r="C14" s="16">
        <f>7000*C30</f>
        <v>7210</v>
      </c>
      <c r="D14" s="17">
        <f t="shared" ref="D14:D19" si="0">ROUND(C14,0)</f>
        <v>7210</v>
      </c>
    </row>
    <row r="15" spans="1:10" ht="15" customHeight="1" x14ac:dyDescent="0.2">
      <c r="A15" s="14">
        <v>2</v>
      </c>
      <c r="B15" s="1" t="s">
        <v>98</v>
      </c>
      <c r="C15" s="16">
        <f>2000*C30</f>
        <v>2060</v>
      </c>
      <c r="D15" s="17">
        <f t="shared" si="0"/>
        <v>2060</v>
      </c>
    </row>
    <row r="16" spans="1:10" ht="31.15" customHeight="1" x14ac:dyDescent="0.2">
      <c r="A16" s="14">
        <v>3</v>
      </c>
      <c r="B16" s="19" t="s">
        <v>175</v>
      </c>
      <c r="C16" s="128">
        <f>9000*C30</f>
        <v>9270</v>
      </c>
      <c r="D16" s="17">
        <f t="shared" si="0"/>
        <v>9270</v>
      </c>
    </row>
    <row r="17" spans="1:5" ht="15" customHeight="1" x14ac:dyDescent="0.2">
      <c r="A17" s="14">
        <v>4</v>
      </c>
      <c r="B17" s="15" t="s">
        <v>21</v>
      </c>
      <c r="C17" s="16">
        <f>40000*C30</f>
        <v>41200</v>
      </c>
      <c r="D17" s="17">
        <f t="shared" si="0"/>
        <v>41200</v>
      </c>
    </row>
    <row r="18" spans="1:5" ht="33.950000000000003" customHeight="1" x14ac:dyDescent="0.2">
      <c r="A18" s="14">
        <v>5</v>
      </c>
      <c r="B18" s="35" t="s">
        <v>22</v>
      </c>
      <c r="C18" s="16">
        <f>106000*C30</f>
        <v>109180</v>
      </c>
      <c r="D18" s="17">
        <f t="shared" si="0"/>
        <v>109180</v>
      </c>
    </row>
    <row r="19" spans="1:5" ht="35.1" customHeight="1" x14ac:dyDescent="0.2">
      <c r="A19" s="14">
        <v>6</v>
      </c>
      <c r="B19" s="35" t="s">
        <v>30</v>
      </c>
      <c r="C19" s="16">
        <f>20000*C30</f>
        <v>20600</v>
      </c>
      <c r="D19" s="17">
        <f t="shared" si="0"/>
        <v>20600</v>
      </c>
    </row>
    <row r="20" spans="1:5" ht="35.1" customHeight="1" x14ac:dyDescent="0.2">
      <c r="B20" s="20" t="s">
        <v>54</v>
      </c>
      <c r="C20" s="20"/>
      <c r="D20" s="129">
        <f>SUM(D14:D19)</f>
        <v>189520</v>
      </c>
    </row>
    <row r="21" spans="1:5" ht="14.25" customHeight="1" x14ac:dyDescent="0.2">
      <c r="D21" s="130"/>
    </row>
    <row r="22" spans="1:5" ht="15" customHeight="1" x14ac:dyDescent="0.2">
      <c r="B22" s="15" t="s">
        <v>10</v>
      </c>
      <c r="C22" s="22"/>
      <c r="D22" s="23">
        <v>170</v>
      </c>
    </row>
    <row r="23" spans="1:5" ht="15" customHeight="1" x14ac:dyDescent="0.2">
      <c r="B23" s="24"/>
      <c r="C23" s="24"/>
    </row>
    <row r="24" spans="1:5" ht="30" customHeight="1" x14ac:dyDescent="0.2">
      <c r="B24" s="246" t="s">
        <v>181</v>
      </c>
      <c r="C24" s="127"/>
      <c r="D24" s="118"/>
      <c r="E24" s="247" t="s">
        <v>178</v>
      </c>
    </row>
    <row r="25" spans="1:5" ht="20.25" customHeight="1" x14ac:dyDescent="0.2">
      <c r="B25" s="246"/>
      <c r="C25" s="127"/>
      <c r="D25" s="118"/>
      <c r="E25" s="247"/>
    </row>
    <row r="26" spans="1:5" hidden="1" x14ac:dyDescent="0.2"/>
    <row r="27" spans="1:5" hidden="1" x14ac:dyDescent="0.2">
      <c r="B27" s="46"/>
      <c r="C27" s="46"/>
    </row>
    <row r="28" spans="1:5" hidden="1" x14ac:dyDescent="0.2"/>
    <row r="29" spans="1:5" hidden="1" x14ac:dyDescent="0.2"/>
    <row r="30" spans="1:5" ht="25.5" hidden="1" x14ac:dyDescent="0.2">
      <c r="B30" s="26" t="s">
        <v>12</v>
      </c>
      <c r="C30" s="27">
        <v>1.03</v>
      </c>
    </row>
    <row r="31" spans="1:5" hidden="1" x14ac:dyDescent="0.2"/>
    <row r="32" spans="1:5" hidden="1" x14ac:dyDescent="0.2"/>
    <row r="33" hidden="1" x14ac:dyDescent="0.2"/>
    <row r="34" hidden="1" x14ac:dyDescent="0.2"/>
  </sheetData>
  <mergeCells count="6">
    <mergeCell ref="A2:J2"/>
    <mergeCell ref="A3:J3"/>
    <mergeCell ref="A4:J4"/>
    <mergeCell ref="A5:J5"/>
    <mergeCell ref="B24:B25"/>
    <mergeCell ref="E24:E25"/>
  </mergeCells>
  <pageMargins left="0.25" right="0.25" top="0.25" bottom="0.25" header="0.25" footer="0.25"/>
  <pageSetup scale="78" fitToWidth="0" fitToHeight="0" orientation="landscape"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4" zoomScaleNormal="100" workbookViewId="0">
      <selection activeCell="F19" sqref="F19"/>
    </sheetView>
  </sheetViews>
  <sheetFormatPr defaultColWidth="9" defaultRowHeight="12.75" x14ac:dyDescent="0.2"/>
  <cols>
    <col min="1" max="1" width="2.875" style="1" customWidth="1"/>
    <col min="2" max="2" width="35.625" style="1" customWidth="1"/>
    <col min="3" max="3" width="20.375" style="1" hidden="1" customWidth="1"/>
    <col min="4" max="4" width="24.1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1" spans="1:10" ht="19.899999999999999" customHeight="1" x14ac:dyDescent="0.2"/>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2" t="s">
        <v>123</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183</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18.75" customHeight="1" x14ac:dyDescent="0.25">
      <c r="B9" s="5"/>
      <c r="C9" s="5"/>
    </row>
    <row r="10" spans="1:10" ht="18.75" customHeight="1" x14ac:dyDescent="0.2">
      <c r="B10" s="7"/>
      <c r="C10" s="7"/>
      <c r="D10" s="8"/>
    </row>
    <row r="11" spans="1:10" ht="18.75" customHeight="1" x14ac:dyDescent="0.2">
      <c r="D11" s="9" t="s">
        <v>95</v>
      </c>
    </row>
    <row r="12" spans="1:10" ht="19.149999999999999" customHeight="1" x14ac:dyDescent="0.2">
      <c r="B12" s="10"/>
      <c r="C12" s="10"/>
      <c r="D12" s="9" t="s">
        <v>184</v>
      </c>
      <c r="E12" s="9"/>
      <c r="F12" s="9"/>
      <c r="G12" s="9"/>
      <c r="H12" s="9"/>
      <c r="I12" s="11"/>
      <c r="J12" s="11"/>
    </row>
    <row r="13" spans="1:10" ht="24.95" customHeight="1" x14ac:dyDescent="0.2">
      <c r="B13" s="12" t="s">
        <v>5</v>
      </c>
      <c r="C13" s="30" t="s">
        <v>6</v>
      </c>
      <c r="D13" s="12" t="s">
        <v>7</v>
      </c>
      <c r="E13" s="9"/>
      <c r="F13" s="9"/>
      <c r="G13" s="9"/>
      <c r="H13" s="9"/>
      <c r="I13" s="11"/>
      <c r="J13" s="11"/>
    </row>
    <row r="14" spans="1:10" ht="15" customHeight="1" x14ac:dyDescent="0.2">
      <c r="A14" s="14">
        <v>1</v>
      </c>
      <c r="B14" s="15" t="s">
        <v>8</v>
      </c>
      <c r="C14" s="17">
        <f>8473*C30</f>
        <v>8727.19</v>
      </c>
      <c r="D14" s="17">
        <f>ROUND(C14,0)</f>
        <v>8727</v>
      </c>
      <c r="E14" s="18"/>
    </row>
    <row r="15" spans="1:10" ht="15" customHeight="1" x14ac:dyDescent="0.2">
      <c r="A15" s="14">
        <v>2</v>
      </c>
      <c r="B15" s="15" t="s">
        <v>37</v>
      </c>
      <c r="C15" s="17">
        <f>11474*C30</f>
        <v>11818.220000000001</v>
      </c>
      <c r="D15" s="17">
        <f>ROUND(C15,0)</f>
        <v>11818</v>
      </c>
      <c r="E15" s="18"/>
    </row>
    <row r="16" spans="1:10" ht="15" customHeight="1" x14ac:dyDescent="0.2">
      <c r="A16" s="14">
        <v>3</v>
      </c>
      <c r="B16" s="15" t="s">
        <v>21</v>
      </c>
      <c r="C16" s="17">
        <f>42723*C30</f>
        <v>44004.69</v>
      </c>
      <c r="D16" s="17">
        <f>ROUND(C16,0)</f>
        <v>44005</v>
      </c>
      <c r="E16" s="18"/>
    </row>
    <row r="17" spans="1:10" ht="43.9" customHeight="1" x14ac:dyDescent="0.2">
      <c r="A17" s="14">
        <v>4</v>
      </c>
      <c r="B17" s="35" t="s">
        <v>22</v>
      </c>
      <c r="C17" s="17">
        <f>57922*C30</f>
        <v>59659.66</v>
      </c>
      <c r="D17" s="17">
        <f>ROUND(C17,0)</f>
        <v>59660</v>
      </c>
      <c r="E17" s="18"/>
    </row>
    <row r="18" spans="1:10" ht="40.15" customHeight="1" x14ac:dyDescent="0.2">
      <c r="A18" s="14">
        <v>5</v>
      </c>
      <c r="B18" s="35" t="s">
        <v>30</v>
      </c>
      <c r="C18" s="17">
        <f>8226*C30</f>
        <v>8472.7800000000007</v>
      </c>
      <c r="D18" s="17">
        <f>ROUND(C18,0)</f>
        <v>8473</v>
      </c>
      <c r="E18" s="18"/>
    </row>
    <row r="19" spans="1:10" ht="35.1" customHeight="1" x14ac:dyDescent="0.2">
      <c r="B19" s="20" t="s">
        <v>125</v>
      </c>
      <c r="C19" s="20"/>
      <c r="D19" s="21">
        <f>SUM(D14:D18)</f>
        <v>132683</v>
      </c>
    </row>
    <row r="20" spans="1:10" ht="39.950000000000003" customHeight="1" x14ac:dyDescent="0.2"/>
    <row r="21" spans="1:10" ht="15" customHeight="1" x14ac:dyDescent="0.2">
      <c r="B21" s="15" t="s">
        <v>10</v>
      </c>
      <c r="C21" s="22"/>
      <c r="D21" s="23">
        <v>71</v>
      </c>
    </row>
    <row r="22" spans="1:10" ht="15" customHeight="1" x14ac:dyDescent="0.2">
      <c r="B22" s="24"/>
      <c r="C22" s="24"/>
    </row>
    <row r="23" spans="1:10" ht="15" customHeight="1" x14ac:dyDescent="0.2">
      <c r="B23" s="15" t="s">
        <v>11</v>
      </c>
      <c r="C23" s="22"/>
      <c r="D23" s="23">
        <v>360</v>
      </c>
    </row>
    <row r="24" spans="1:10" ht="20.100000000000001" hidden="1" customHeight="1" x14ac:dyDescent="0.2">
      <c r="B24" s="25"/>
      <c r="C24" s="25"/>
    </row>
    <row r="25" spans="1:10" ht="22.9" hidden="1" customHeight="1" x14ac:dyDescent="0.2">
      <c r="B25" s="24"/>
      <c r="C25" s="24"/>
    </row>
    <row r="26" spans="1:10" hidden="1" x14ac:dyDescent="0.2"/>
    <row r="27" spans="1:10" hidden="1" x14ac:dyDescent="0.2"/>
    <row r="28" spans="1:10" hidden="1" x14ac:dyDescent="0.2"/>
    <row r="29" spans="1:10" hidden="1" x14ac:dyDescent="0.2"/>
    <row r="30" spans="1:10" customFormat="1" ht="25.5" hidden="1" x14ac:dyDescent="0.2">
      <c r="A30" s="1"/>
      <c r="B30" s="26" t="s">
        <v>12</v>
      </c>
      <c r="C30" s="27">
        <v>1.03</v>
      </c>
      <c r="D30" s="1"/>
      <c r="E30" s="1"/>
      <c r="F30" s="1"/>
      <c r="G30" s="1"/>
      <c r="H30" s="1"/>
      <c r="I30" s="1"/>
      <c r="J30" s="1"/>
    </row>
    <row r="31" spans="1:10" hidden="1" x14ac:dyDescent="0.2"/>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zoomScaleNormal="100" workbookViewId="0">
      <selection activeCell="B8" sqref="B8"/>
    </sheetView>
  </sheetViews>
  <sheetFormatPr defaultColWidth="9" defaultRowHeight="12.75" x14ac:dyDescent="0.2"/>
  <cols>
    <col min="1" max="1" width="2.875" style="1" customWidth="1"/>
    <col min="2" max="2" width="35.625" style="1" customWidth="1"/>
    <col min="3" max="3" width="20.25" style="1" hidden="1" customWidth="1"/>
    <col min="4" max="4" width="27.3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2" t="s">
        <v>185</v>
      </c>
      <c r="B3" s="222"/>
      <c r="C3" s="222"/>
      <c r="D3" s="222"/>
      <c r="E3" s="222"/>
      <c r="F3" s="222"/>
      <c r="G3" s="222"/>
      <c r="H3" s="222"/>
      <c r="I3" s="222"/>
      <c r="J3" s="222"/>
    </row>
    <row r="4" spans="1:10" s="3" customFormat="1" ht="19.899999999999999" customHeight="1" x14ac:dyDescent="0.25">
      <c r="A4" s="227" t="s">
        <v>1</v>
      </c>
      <c r="B4" s="227"/>
      <c r="C4" s="227"/>
      <c r="D4" s="227"/>
      <c r="E4" s="227"/>
      <c r="F4" s="227"/>
      <c r="G4" s="227"/>
      <c r="H4" s="227"/>
      <c r="I4" s="227"/>
      <c r="J4" s="227"/>
    </row>
    <row r="5" spans="1:10" s="3" customFormat="1" ht="19.899999999999999" customHeight="1" x14ac:dyDescent="0.25">
      <c r="A5" s="222" t="s">
        <v>183</v>
      </c>
      <c r="B5" s="222"/>
      <c r="C5" s="222"/>
      <c r="D5" s="222"/>
      <c r="E5" s="222"/>
      <c r="F5" s="222"/>
      <c r="G5" s="222"/>
      <c r="H5" s="222"/>
      <c r="I5" s="222"/>
      <c r="J5" s="222"/>
    </row>
    <row r="6" spans="1:10" s="3" customFormat="1" ht="12.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18.75" customHeight="1" x14ac:dyDescent="0.25">
      <c r="B9" s="5"/>
      <c r="C9" s="5"/>
    </row>
    <row r="10" spans="1:10" ht="18.75" customHeight="1" x14ac:dyDescent="0.2">
      <c r="B10" s="7"/>
      <c r="C10" s="7"/>
      <c r="D10" s="8"/>
    </row>
    <row r="11" spans="1:10" ht="18.75" customHeight="1" x14ac:dyDescent="0.2">
      <c r="D11" s="9" t="s">
        <v>186</v>
      </c>
      <c r="E11" s="131"/>
    </row>
    <row r="12" spans="1:10" ht="13.15" customHeight="1" x14ac:dyDescent="0.2">
      <c r="B12" s="10"/>
      <c r="C12" s="10"/>
      <c r="D12" s="9"/>
      <c r="E12" s="9"/>
      <c r="F12" s="9"/>
      <c r="G12" s="9"/>
      <c r="H12" s="9"/>
      <c r="I12" s="11"/>
      <c r="J12" s="11"/>
    </row>
    <row r="13" spans="1:10" ht="24.95" customHeight="1" x14ac:dyDescent="0.2">
      <c r="B13" s="12" t="s">
        <v>5</v>
      </c>
      <c r="C13" s="30" t="s">
        <v>6</v>
      </c>
      <c r="D13" s="12" t="s">
        <v>7</v>
      </c>
      <c r="E13" s="9"/>
      <c r="F13" s="9"/>
      <c r="G13" s="9"/>
      <c r="H13" s="9"/>
      <c r="I13" s="11"/>
      <c r="J13" s="11"/>
    </row>
    <row r="14" spans="1:10" ht="34.5" customHeight="1" x14ac:dyDescent="0.2">
      <c r="A14" s="14">
        <v>1</v>
      </c>
      <c r="B14" s="15" t="s">
        <v>8</v>
      </c>
      <c r="C14" s="17">
        <f>8478*C30</f>
        <v>8732.34</v>
      </c>
      <c r="D14" s="17">
        <f t="shared" ref="D14:D19" si="0">ROUND(C14,0)</f>
        <v>8732</v>
      </c>
      <c r="E14" s="18"/>
    </row>
    <row r="15" spans="1:10" ht="34.5" customHeight="1" x14ac:dyDescent="0.2">
      <c r="A15" s="14">
        <v>2</v>
      </c>
      <c r="B15" s="15" t="s">
        <v>187</v>
      </c>
      <c r="C15" s="17">
        <f>3587*C30</f>
        <v>3694.61</v>
      </c>
      <c r="D15" s="17">
        <f t="shared" si="0"/>
        <v>3695</v>
      </c>
      <c r="E15" s="18"/>
    </row>
    <row r="16" spans="1:10" ht="35.25" customHeight="1" x14ac:dyDescent="0.2">
      <c r="A16" s="14">
        <v>3</v>
      </c>
      <c r="B16" s="19" t="s">
        <v>188</v>
      </c>
      <c r="C16" s="17">
        <f>11831*C30</f>
        <v>12185.93</v>
      </c>
      <c r="D16" s="17">
        <f t="shared" si="0"/>
        <v>12186</v>
      </c>
      <c r="E16" s="18"/>
    </row>
    <row r="17" spans="1:10" ht="25.9" customHeight="1" x14ac:dyDescent="0.2">
      <c r="A17" s="14">
        <v>4</v>
      </c>
      <c r="B17" s="15" t="s">
        <v>21</v>
      </c>
      <c r="C17" s="17">
        <f>42731*C30</f>
        <v>44012.93</v>
      </c>
      <c r="D17" s="17">
        <f t="shared" si="0"/>
        <v>44013</v>
      </c>
      <c r="E17" s="18"/>
    </row>
    <row r="18" spans="1:10" ht="42.95" customHeight="1" x14ac:dyDescent="0.2">
      <c r="A18" s="14">
        <v>5</v>
      </c>
      <c r="B18" s="35" t="s">
        <v>22</v>
      </c>
      <c r="C18" s="17">
        <f>57932*C30</f>
        <v>59669.96</v>
      </c>
      <c r="D18" s="17">
        <f t="shared" si="0"/>
        <v>59670</v>
      </c>
      <c r="E18" s="18"/>
    </row>
    <row r="19" spans="1:10" ht="37.700000000000003" customHeight="1" x14ac:dyDescent="0.2">
      <c r="A19" s="14">
        <v>6</v>
      </c>
      <c r="B19" s="35" t="s">
        <v>30</v>
      </c>
      <c r="C19" s="17">
        <f>8232*C30</f>
        <v>8478.9600000000009</v>
      </c>
      <c r="D19" s="17">
        <f t="shared" si="0"/>
        <v>8479</v>
      </c>
      <c r="E19" s="18"/>
    </row>
    <row r="20" spans="1:10" ht="35.1" customHeight="1" x14ac:dyDescent="0.2">
      <c r="B20" s="20" t="s">
        <v>48</v>
      </c>
      <c r="C20" s="20"/>
      <c r="D20" s="21">
        <f>SUM(D14:D19)</f>
        <v>136775</v>
      </c>
      <c r="E20" s="18"/>
    </row>
    <row r="21" spans="1:10" ht="39.950000000000003" customHeight="1" x14ac:dyDescent="0.2">
      <c r="D21" s="18"/>
    </row>
    <row r="22" spans="1:10" ht="20.100000000000001" customHeight="1" x14ac:dyDescent="0.2">
      <c r="B22" s="15" t="s">
        <v>10</v>
      </c>
      <c r="C22" s="22"/>
      <c r="D22" s="23">
        <v>71</v>
      </c>
    </row>
    <row r="23" spans="1:10" ht="20.100000000000001" customHeight="1" x14ac:dyDescent="0.2">
      <c r="B23" s="24"/>
      <c r="C23" s="24"/>
    </row>
    <row r="24" spans="1:10" ht="20.100000000000001" customHeight="1" x14ac:dyDescent="0.2">
      <c r="B24" s="15" t="s">
        <v>11</v>
      </c>
      <c r="C24" s="22"/>
      <c r="D24" s="23">
        <v>360</v>
      </c>
    </row>
    <row r="25" spans="1:10" ht="20.100000000000001" hidden="1" customHeight="1" x14ac:dyDescent="0.2">
      <c r="B25" s="25"/>
      <c r="C25" s="25"/>
    </row>
    <row r="26" spans="1:10" ht="22.9" hidden="1" customHeight="1" x14ac:dyDescent="0.2">
      <c r="B26" s="24"/>
      <c r="C26" s="24"/>
    </row>
    <row r="27" spans="1:10" hidden="1" x14ac:dyDescent="0.2"/>
    <row r="28" spans="1:10" hidden="1" x14ac:dyDescent="0.2"/>
    <row r="29" spans="1:10" hidden="1" x14ac:dyDescent="0.2"/>
    <row r="30" spans="1:10" ht="25.5" hidden="1" x14ac:dyDescent="0.2">
      <c r="B30" s="26" t="s">
        <v>12</v>
      </c>
      <c r="C30" s="27">
        <v>1.03</v>
      </c>
      <c r="D30" s="46"/>
      <c r="E30" s="46"/>
    </row>
    <row r="31" spans="1:10" customFormat="1" hidden="1" x14ac:dyDescent="0.2">
      <c r="A31" s="1"/>
      <c r="B31" s="46"/>
      <c r="C31" s="46"/>
      <c r="D31" s="1"/>
      <c r="E31" s="1"/>
      <c r="F31" s="1"/>
      <c r="G31" s="1"/>
      <c r="H31" s="1"/>
      <c r="I31" s="1"/>
      <c r="J31" s="1"/>
    </row>
    <row r="32" spans="1:10" hidden="1" x14ac:dyDescent="0.2"/>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7" zoomScaleNormal="100" workbookViewId="0">
      <selection activeCell="B8" sqref="B8"/>
    </sheetView>
  </sheetViews>
  <sheetFormatPr defaultColWidth="9" defaultRowHeight="12.75" x14ac:dyDescent="0.2"/>
  <cols>
    <col min="1" max="1" width="2.875" style="1" customWidth="1"/>
    <col min="2" max="2" width="35.625" style="1" customWidth="1"/>
    <col min="3" max="3" width="17.375" style="1" hidden="1" customWidth="1"/>
    <col min="4" max="4" width="26.62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1" spans="1:11" ht="19.899999999999999" customHeight="1" x14ac:dyDescent="0.2"/>
    <row r="2" spans="1:11" s="3" customFormat="1" ht="19.899999999999999" customHeight="1" x14ac:dyDescent="0.25">
      <c r="A2" s="222" t="s">
        <v>182</v>
      </c>
      <c r="B2" s="222"/>
      <c r="C2" s="222"/>
      <c r="D2" s="222"/>
      <c r="E2" s="222"/>
      <c r="F2" s="222"/>
      <c r="G2" s="222"/>
      <c r="H2" s="222"/>
      <c r="I2" s="222"/>
      <c r="J2" s="222"/>
      <c r="K2" s="222"/>
    </row>
    <row r="3" spans="1:11" s="3" customFormat="1" ht="19.899999999999999" customHeight="1" x14ac:dyDescent="0.25">
      <c r="A3" s="222" t="s">
        <v>189</v>
      </c>
      <c r="B3" s="222"/>
      <c r="C3" s="222"/>
      <c r="D3" s="222"/>
      <c r="E3" s="222"/>
      <c r="F3" s="222"/>
      <c r="G3" s="222"/>
      <c r="H3" s="222"/>
      <c r="I3" s="222"/>
      <c r="J3" s="222"/>
      <c r="K3" s="222"/>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183</v>
      </c>
      <c r="B5" s="222"/>
      <c r="C5" s="222"/>
      <c r="D5" s="222"/>
      <c r="E5" s="222"/>
      <c r="F5" s="222"/>
      <c r="G5" s="222"/>
      <c r="H5" s="222"/>
      <c r="I5" s="222"/>
      <c r="J5" s="222"/>
      <c r="K5" s="222"/>
    </row>
    <row r="6" spans="1:11" s="3" customFormat="1" ht="19.899999999999999" customHeight="1" x14ac:dyDescent="0.25">
      <c r="A6" s="2"/>
      <c r="B6" s="2"/>
      <c r="C6" s="2"/>
      <c r="D6" s="2"/>
      <c r="E6" s="2"/>
      <c r="F6" s="2"/>
      <c r="G6" s="2"/>
      <c r="H6" s="2"/>
      <c r="I6" s="2"/>
      <c r="J6" s="2"/>
      <c r="K6" s="2"/>
    </row>
    <row r="7" spans="1:11" s="4" customFormat="1" ht="30" customHeight="1" x14ac:dyDescent="0.25">
      <c r="B7" s="5"/>
      <c r="C7" s="5"/>
      <c r="D7" s="6"/>
      <c r="E7" s="6"/>
      <c r="F7" s="6"/>
      <c r="G7" s="6"/>
    </row>
    <row r="8" spans="1:11" s="4" customFormat="1" ht="30" customHeight="1" x14ac:dyDescent="0.25">
      <c r="B8" s="5"/>
      <c r="C8" s="5"/>
    </row>
    <row r="9" spans="1:11" s="4" customFormat="1" ht="18.75" customHeight="1" x14ac:dyDescent="0.25">
      <c r="B9" s="5"/>
      <c r="C9" s="5"/>
    </row>
    <row r="10" spans="1:11" ht="18.75" customHeight="1" x14ac:dyDescent="0.2">
      <c r="B10" s="7"/>
      <c r="C10" s="7"/>
      <c r="D10" s="8"/>
    </row>
    <row r="11" spans="1:11" ht="18.75" customHeight="1" x14ac:dyDescent="0.2">
      <c r="D11" s="9" t="s">
        <v>50</v>
      </c>
      <c r="E11" s="232"/>
      <c r="F11" s="232"/>
      <c r="G11" s="232"/>
      <c r="H11" s="232"/>
      <c r="I11" s="232"/>
      <c r="J11" s="232"/>
      <c r="K11" s="232"/>
    </row>
    <row r="12" spans="1:11" ht="15.6" customHeight="1" x14ac:dyDescent="0.2">
      <c r="B12" s="10"/>
      <c r="C12" s="10"/>
      <c r="D12" s="9"/>
      <c r="E12" s="232"/>
      <c r="F12" s="232"/>
      <c r="G12" s="232"/>
      <c r="H12" s="232"/>
      <c r="I12" s="232"/>
      <c r="J12" s="232"/>
      <c r="K12" s="232"/>
    </row>
    <row r="13" spans="1:11" ht="24.95" customHeight="1" x14ac:dyDescent="0.2">
      <c r="B13" s="12" t="s">
        <v>5</v>
      </c>
      <c r="C13" s="30" t="s">
        <v>6</v>
      </c>
      <c r="D13" s="12" t="s">
        <v>7</v>
      </c>
      <c r="E13" s="9"/>
      <c r="F13" s="9"/>
      <c r="G13" s="9"/>
      <c r="H13" s="9"/>
      <c r="I13" s="11"/>
      <c r="J13" s="11"/>
      <c r="K13" s="11"/>
    </row>
    <row r="14" spans="1:11" ht="15" customHeight="1" x14ac:dyDescent="0.2">
      <c r="A14" s="14">
        <v>1</v>
      </c>
      <c r="B14" s="15" t="s">
        <v>8</v>
      </c>
      <c r="C14" s="17">
        <f>8480*C30</f>
        <v>8734.4</v>
      </c>
      <c r="D14" s="17">
        <f>ROUND(C14,0)</f>
        <v>8734</v>
      </c>
      <c r="E14" s="18"/>
    </row>
    <row r="15" spans="1:11" ht="15" customHeight="1" x14ac:dyDescent="0.2">
      <c r="A15" s="14">
        <v>2</v>
      </c>
      <c r="B15" s="15" t="s">
        <v>51</v>
      </c>
      <c r="C15" s="17">
        <f>8030*C30</f>
        <v>8270.9</v>
      </c>
      <c r="D15" s="17">
        <f>ROUND(C15,0)</f>
        <v>8271</v>
      </c>
      <c r="E15" s="18"/>
    </row>
    <row r="16" spans="1:11" ht="45" customHeight="1" x14ac:dyDescent="0.2">
      <c r="A16" s="14">
        <v>3</v>
      </c>
      <c r="B16" s="19" t="s">
        <v>190</v>
      </c>
      <c r="C16" s="19"/>
      <c r="D16" s="17" t="s">
        <v>53</v>
      </c>
      <c r="E16" s="18"/>
    </row>
    <row r="17" spans="1:11" x14ac:dyDescent="0.2">
      <c r="A17" s="14">
        <v>4</v>
      </c>
      <c r="B17" s="15" t="s">
        <v>21</v>
      </c>
      <c r="C17" s="17">
        <f>43745*C30</f>
        <v>45057.35</v>
      </c>
      <c r="D17" s="17">
        <f>ROUND(C17,0)</f>
        <v>45057</v>
      </c>
      <c r="E17" s="18"/>
    </row>
    <row r="18" spans="1:11" ht="45.75" customHeight="1" x14ac:dyDescent="0.2">
      <c r="A18" s="14">
        <v>5</v>
      </c>
      <c r="B18" s="35" t="s">
        <v>22</v>
      </c>
      <c r="C18" s="17">
        <f>69097*C30</f>
        <v>71169.91</v>
      </c>
      <c r="D18" s="17">
        <f>ROUND(C18,0)</f>
        <v>71170</v>
      </c>
      <c r="E18" s="18"/>
    </row>
    <row r="19" spans="1:11" ht="44.25" customHeight="1" x14ac:dyDescent="0.2">
      <c r="A19" s="14">
        <v>6</v>
      </c>
      <c r="B19" s="35" t="s">
        <v>30</v>
      </c>
      <c r="C19" s="17">
        <f>22850*C30</f>
        <v>23535.5</v>
      </c>
      <c r="D19" s="17">
        <f>ROUND(C19,0)</f>
        <v>23536</v>
      </c>
      <c r="E19" s="18"/>
    </row>
    <row r="20" spans="1:11" ht="35.1" customHeight="1" x14ac:dyDescent="0.2">
      <c r="B20" s="20" t="s">
        <v>54</v>
      </c>
      <c r="C20" s="20"/>
      <c r="D20" s="21">
        <f>SUM(D17:D19,D14:D15)</f>
        <v>156768</v>
      </c>
      <c r="K20" s="36"/>
    </row>
    <row r="21" spans="1:11" ht="19.5" customHeight="1" x14ac:dyDescent="0.2"/>
    <row r="22" spans="1:11" ht="20.100000000000001" customHeight="1" x14ac:dyDescent="0.2">
      <c r="B22" s="15" t="s">
        <v>10</v>
      </c>
      <c r="C22" s="22"/>
      <c r="D22" s="23">
        <v>71</v>
      </c>
    </row>
    <row r="23" spans="1:11" ht="20.100000000000001" customHeight="1" x14ac:dyDescent="0.2">
      <c r="B23" s="24"/>
      <c r="C23" s="24"/>
    </row>
    <row r="24" spans="1:11" ht="20.100000000000001" customHeight="1" x14ac:dyDescent="0.2">
      <c r="B24" s="15" t="s">
        <v>11</v>
      </c>
      <c r="C24" s="22"/>
      <c r="D24" s="23">
        <v>360</v>
      </c>
    </row>
    <row r="25" spans="1:11" ht="10.5" customHeight="1" x14ac:dyDescent="0.2">
      <c r="B25" s="25"/>
      <c r="C25" s="25"/>
    </row>
    <row r="26" spans="1:11" ht="72" customHeight="1" x14ac:dyDescent="0.2">
      <c r="B26" s="235" t="s">
        <v>191</v>
      </c>
      <c r="C26" s="230"/>
      <c r="D26" s="231"/>
    </row>
    <row r="27" spans="1:11" hidden="1" x14ac:dyDescent="0.2"/>
    <row r="28" spans="1:11" hidden="1" x14ac:dyDescent="0.2"/>
    <row r="29" spans="1:11" hidden="1" x14ac:dyDescent="0.2"/>
    <row r="30" spans="1:11" ht="25.5" hidden="1" x14ac:dyDescent="0.2">
      <c r="B30" s="26" t="s">
        <v>12</v>
      </c>
      <c r="C30" s="27">
        <v>1.03</v>
      </c>
    </row>
    <row r="31" spans="1:11" customFormat="1" hidden="1" x14ac:dyDescent="0.2">
      <c r="A31" s="1"/>
      <c r="B31" s="46"/>
      <c r="C31" s="46"/>
      <c r="D31" s="1"/>
      <c r="E31" s="1"/>
      <c r="F31" s="1"/>
      <c r="G31" s="1"/>
      <c r="H31" s="1"/>
      <c r="I31" s="1"/>
      <c r="J31" s="1"/>
      <c r="K31" s="1"/>
    </row>
    <row r="32" spans="1:11" hidden="1" x14ac:dyDescent="0.2"/>
  </sheetData>
  <mergeCells count="6">
    <mergeCell ref="B26:D26"/>
    <mergeCell ref="A2:K2"/>
    <mergeCell ref="A3:K3"/>
    <mergeCell ref="A4:K4"/>
    <mergeCell ref="A5:K5"/>
    <mergeCell ref="E11:K12"/>
  </mergeCells>
  <pageMargins left="0.25" right="0.25" top="0.25" bottom="0.25" header="0.25" footer="0.25"/>
  <pageSetup scale="73" fitToWidth="0" fitToHeight="0"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opLeftCell="D1" zoomScaleNormal="100" workbookViewId="0">
      <selection activeCell="I12" sqref="I12"/>
    </sheetView>
  </sheetViews>
  <sheetFormatPr defaultColWidth="9" defaultRowHeight="12.75" x14ac:dyDescent="0.2"/>
  <cols>
    <col min="1" max="1" width="2.875" style="1" customWidth="1"/>
    <col min="2" max="2" width="35.625" style="1" customWidth="1"/>
    <col min="3" max="3" width="7.125" style="1" hidden="1" customWidth="1"/>
    <col min="4" max="4" width="37.8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0</v>
      </c>
      <c r="B2" s="222"/>
      <c r="C2" s="222"/>
      <c r="D2" s="222"/>
      <c r="E2" s="222"/>
      <c r="F2" s="222"/>
      <c r="G2" s="222"/>
      <c r="H2" s="222"/>
      <c r="I2" s="222"/>
      <c r="J2" s="222"/>
    </row>
    <row r="3" spans="1:10" s="3" customFormat="1" ht="19.899999999999999" customHeight="1" x14ac:dyDescent="0.25">
      <c r="A3" s="222" t="s">
        <v>25</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2</v>
      </c>
      <c r="B5" s="222"/>
      <c r="C5" s="222"/>
      <c r="D5" s="222"/>
      <c r="E5" s="222"/>
      <c r="F5" s="222"/>
      <c r="G5" s="222"/>
      <c r="H5" s="222"/>
      <c r="I5" s="222"/>
      <c r="J5" s="222"/>
    </row>
    <row r="6" spans="1:10" s="3" customFormat="1" ht="30"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30" customHeight="1" x14ac:dyDescent="0.25">
      <c r="B9" s="5"/>
      <c r="C9" s="5"/>
    </row>
    <row r="10" spans="1:10" s="4" customFormat="1" ht="30" customHeight="1" x14ac:dyDescent="0.25">
      <c r="B10" s="5"/>
      <c r="C10" s="5"/>
    </row>
    <row r="11" spans="1:10" ht="24.95" customHeight="1" x14ac:dyDescent="0.2">
      <c r="B11" s="7"/>
      <c r="C11" s="7"/>
      <c r="D11" s="8"/>
    </row>
    <row r="12" spans="1:10" ht="24.95" customHeight="1" x14ac:dyDescent="0.2">
      <c r="D12" s="9" t="s">
        <v>26</v>
      </c>
    </row>
    <row r="13" spans="1:10" ht="15" customHeight="1" x14ac:dyDescent="0.2">
      <c r="B13" s="10"/>
      <c r="C13" s="10"/>
      <c r="D13" s="9" t="s">
        <v>4</v>
      </c>
      <c r="E13" s="9"/>
      <c r="F13" s="9"/>
      <c r="G13" s="9"/>
      <c r="H13" s="9"/>
      <c r="I13" s="11"/>
      <c r="J13" s="11"/>
    </row>
    <row r="14" spans="1:10" ht="24.95" customHeight="1" x14ac:dyDescent="0.2">
      <c r="B14" s="12" t="s">
        <v>5</v>
      </c>
      <c r="C14" s="30" t="s">
        <v>6</v>
      </c>
      <c r="D14" s="12" t="s">
        <v>7</v>
      </c>
      <c r="E14" s="9"/>
      <c r="F14" s="9"/>
      <c r="G14" s="9"/>
      <c r="H14" s="9"/>
      <c r="I14" s="11"/>
      <c r="J14" s="11"/>
    </row>
    <row r="15" spans="1:10" ht="35.1" customHeight="1" x14ac:dyDescent="0.2">
      <c r="A15" s="14">
        <v>1</v>
      </c>
      <c r="B15" s="15" t="s">
        <v>8</v>
      </c>
      <c r="C15" s="17">
        <f>11635*C30</f>
        <v>11984.050000000001</v>
      </c>
      <c r="D15" s="17">
        <f>ROUND(C15,0)</f>
        <v>11984</v>
      </c>
      <c r="E15" s="18"/>
    </row>
    <row r="16" spans="1:10" ht="35.1" customHeight="1" x14ac:dyDescent="0.2">
      <c r="A16" s="14">
        <v>2</v>
      </c>
      <c r="B16" s="15" t="s">
        <v>21</v>
      </c>
      <c r="C16" s="17">
        <f>91205*C30</f>
        <v>93941.150000000009</v>
      </c>
      <c r="D16" s="17">
        <f>ROUND(C16,0)</f>
        <v>93941</v>
      </c>
      <c r="E16" s="18"/>
    </row>
    <row r="17" spans="1:5" ht="42" customHeight="1" x14ac:dyDescent="0.2">
      <c r="A17" s="14">
        <v>3</v>
      </c>
      <c r="B17" s="35" t="s">
        <v>22</v>
      </c>
      <c r="C17" s="17">
        <f>36950*C30</f>
        <v>38058.5</v>
      </c>
      <c r="D17" s="17">
        <f>ROUND(C17,0)</f>
        <v>38059</v>
      </c>
      <c r="E17" s="18"/>
    </row>
    <row r="18" spans="1:5" ht="35.1" customHeight="1" x14ac:dyDescent="0.2">
      <c r="A18" s="14">
        <v>4</v>
      </c>
      <c r="B18" s="35" t="s">
        <v>23</v>
      </c>
      <c r="C18" s="17">
        <f>6957*C30</f>
        <v>7165.71</v>
      </c>
      <c r="D18" s="17">
        <f>ROUND(C18,0)</f>
        <v>7166</v>
      </c>
      <c r="E18" s="18"/>
    </row>
    <row r="19" spans="1:5" ht="35.1" customHeight="1" x14ac:dyDescent="0.2">
      <c r="B19" s="20" t="s">
        <v>27</v>
      </c>
      <c r="C19" s="20"/>
      <c r="D19" s="21">
        <f>SUM(D15:D18)</f>
        <v>151150</v>
      </c>
    </row>
    <row r="20" spans="1:5" ht="39.950000000000003" customHeight="1" x14ac:dyDescent="0.2"/>
    <row r="21" spans="1:5" ht="20.100000000000001" customHeight="1" x14ac:dyDescent="0.2">
      <c r="B21" s="15" t="s">
        <v>10</v>
      </c>
      <c r="C21" s="22"/>
      <c r="D21" s="23">
        <v>154</v>
      </c>
    </row>
    <row r="22" spans="1:5" ht="20.100000000000001" customHeight="1" x14ac:dyDescent="0.2">
      <c r="B22" s="24"/>
      <c r="C22" s="24"/>
    </row>
    <row r="23" spans="1:5" ht="20.100000000000001" customHeight="1" x14ac:dyDescent="0.2">
      <c r="B23" s="15" t="s">
        <v>11</v>
      </c>
      <c r="C23" s="22"/>
      <c r="D23" s="23">
        <v>750</v>
      </c>
    </row>
    <row r="24" spans="1:5" ht="20.100000000000001" hidden="1" customHeight="1" x14ac:dyDescent="0.2">
      <c r="B24" s="25"/>
      <c r="C24" s="25"/>
    </row>
    <row r="25" spans="1:5" hidden="1" x14ac:dyDescent="0.2"/>
    <row r="26" spans="1:5" hidden="1" x14ac:dyDescent="0.2"/>
    <row r="27" spans="1:5" hidden="1" x14ac:dyDescent="0.2"/>
    <row r="28" spans="1:5" hidden="1" x14ac:dyDescent="0.2"/>
    <row r="29" spans="1:5" hidden="1" x14ac:dyDescent="0.2"/>
    <row r="30" spans="1:5" ht="25.5" hidden="1" x14ac:dyDescent="0.2">
      <c r="B30" s="26" t="s">
        <v>12</v>
      </c>
      <c r="C30" s="27">
        <v>1.03</v>
      </c>
    </row>
    <row r="31" spans="1:5" hidden="1" x14ac:dyDescent="0.2"/>
  </sheetData>
  <mergeCells count="4">
    <mergeCell ref="A2:J2"/>
    <mergeCell ref="A3:J3"/>
    <mergeCell ref="A4:J4"/>
    <mergeCell ref="A5:J5"/>
  </mergeCells>
  <pageMargins left="0.25" right="0.25" top="0.25" bottom="0.25" header="0.25" footer="0.25"/>
  <pageSetup scale="76" fitToWidth="0" fitToHeight="0" orientation="landscape"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4" zoomScaleNormal="100" workbookViewId="0">
      <selection activeCell="A7" sqref="A7"/>
    </sheetView>
  </sheetViews>
  <sheetFormatPr defaultRowHeight="12" x14ac:dyDescent="0.15"/>
  <cols>
    <col min="1" max="1" width="4.25" customWidth="1"/>
    <col min="2" max="2" width="35.5" customWidth="1"/>
    <col min="3" max="3" width="11.875" hidden="1" customWidth="1"/>
    <col min="4" max="4" width="16.5" customWidth="1"/>
    <col min="5" max="5" width="11.25" customWidth="1"/>
    <col min="6" max="6" width="9.125" customWidth="1"/>
    <col min="7" max="7" width="10.875" customWidth="1"/>
    <col min="8" max="8" width="8.875" customWidth="1"/>
    <col min="9" max="9" width="14.75" customWidth="1"/>
    <col min="10" max="10" width="8.875" customWidth="1"/>
  </cols>
  <sheetData>
    <row r="1" spans="1:11" ht="19.899999999999999" customHeight="1" x14ac:dyDescent="0.25">
      <c r="A1" s="227" t="s">
        <v>182</v>
      </c>
      <c r="B1" s="227"/>
      <c r="C1" s="227"/>
      <c r="D1" s="227"/>
      <c r="E1" s="227"/>
      <c r="F1" s="227"/>
      <c r="G1" s="227"/>
      <c r="H1" s="227"/>
      <c r="I1" s="227"/>
      <c r="J1" s="227"/>
    </row>
    <row r="2" spans="1:11" ht="19.899999999999999" customHeight="1" x14ac:dyDescent="0.25">
      <c r="A2" s="227" t="s">
        <v>137</v>
      </c>
      <c r="B2" s="227"/>
      <c r="C2" s="227"/>
      <c r="D2" s="227"/>
      <c r="E2" s="227"/>
      <c r="F2" s="227"/>
      <c r="G2" s="227"/>
      <c r="H2" s="227"/>
      <c r="I2" s="227"/>
      <c r="J2" s="227"/>
    </row>
    <row r="3" spans="1:11" ht="19.899999999999999" customHeight="1" x14ac:dyDescent="0.25">
      <c r="A3" s="227" t="s">
        <v>1</v>
      </c>
      <c r="B3" s="227"/>
      <c r="C3" s="227"/>
      <c r="D3" s="227"/>
      <c r="E3" s="227"/>
      <c r="F3" s="227"/>
      <c r="G3" s="227"/>
      <c r="H3" s="227"/>
      <c r="I3" s="227"/>
      <c r="J3" s="227"/>
    </row>
    <row r="4" spans="1:11" ht="19.899999999999999" customHeight="1" x14ac:dyDescent="0.25">
      <c r="A4" s="227" t="s">
        <v>183</v>
      </c>
      <c r="B4" s="227"/>
      <c r="C4" s="227"/>
      <c r="D4" s="227"/>
      <c r="E4" s="227"/>
      <c r="F4" s="227"/>
      <c r="G4" s="227"/>
      <c r="H4" s="227"/>
      <c r="I4" s="227"/>
      <c r="J4" s="227"/>
    </row>
    <row r="5" spans="1:11" ht="19.899999999999999" customHeight="1" x14ac:dyDescent="0.25">
      <c r="A5" s="44"/>
      <c r="B5" s="44"/>
      <c r="C5" s="44"/>
      <c r="D5" s="44"/>
      <c r="E5" s="44"/>
      <c r="F5" s="44"/>
      <c r="G5" s="44"/>
      <c r="H5" s="44"/>
      <c r="I5" s="44"/>
      <c r="J5" s="44"/>
    </row>
    <row r="6" spans="1:11" ht="19.899999999999999" customHeight="1" x14ac:dyDescent="0.25">
      <c r="A6" s="54"/>
      <c r="B6" s="55"/>
      <c r="C6" s="55"/>
      <c r="D6" s="248" t="s">
        <v>223</v>
      </c>
      <c r="E6" s="249"/>
      <c r="F6" s="249"/>
      <c r="G6" s="249"/>
      <c r="H6" s="54"/>
      <c r="I6" s="54"/>
      <c r="J6" s="54"/>
    </row>
    <row r="7" spans="1:11" ht="15" x14ac:dyDescent="0.25">
      <c r="A7" s="54"/>
      <c r="B7" s="55"/>
      <c r="C7" s="55"/>
      <c r="D7" s="54"/>
      <c r="E7" s="54"/>
      <c r="F7" s="54"/>
      <c r="G7" s="54"/>
      <c r="H7" s="54"/>
      <c r="I7" s="54"/>
      <c r="J7" s="54"/>
    </row>
    <row r="8" spans="1:11" ht="15" x14ac:dyDescent="0.25">
      <c r="A8" s="54"/>
      <c r="B8" s="55"/>
      <c r="C8" s="55"/>
      <c r="D8" s="54"/>
      <c r="E8" s="54"/>
      <c r="F8" s="54"/>
      <c r="G8" s="54"/>
      <c r="H8" s="54"/>
      <c r="I8" s="54"/>
      <c r="J8" s="54"/>
    </row>
    <row r="9" spans="1:11" ht="15" x14ac:dyDescent="0.25">
      <c r="A9" s="54"/>
      <c r="B9" s="55"/>
      <c r="C9" s="55"/>
      <c r="D9" s="54"/>
      <c r="E9" s="54"/>
      <c r="F9" s="54"/>
      <c r="G9" s="54"/>
      <c r="H9" s="54"/>
      <c r="I9" s="54"/>
      <c r="J9" s="54"/>
    </row>
    <row r="10" spans="1:11" ht="12.75" x14ac:dyDescent="0.2">
      <c r="A10" s="53"/>
      <c r="B10" s="57"/>
      <c r="C10" s="57"/>
      <c r="E10" s="53"/>
      <c r="F10" s="53"/>
      <c r="G10" s="53"/>
      <c r="H10" s="53"/>
      <c r="I10" s="53"/>
      <c r="J10" s="53"/>
    </row>
    <row r="11" spans="1:11" ht="12.75" x14ac:dyDescent="0.2">
      <c r="A11" s="53"/>
      <c r="B11" s="53"/>
      <c r="C11" s="53"/>
      <c r="D11" s="58"/>
      <c r="E11" s="232"/>
      <c r="F11" s="232"/>
      <c r="G11" s="232"/>
      <c r="H11" s="232"/>
      <c r="I11" s="232"/>
      <c r="J11" s="232"/>
    </row>
    <row r="12" spans="1:11" ht="18.600000000000001" customHeight="1" x14ac:dyDescent="0.2">
      <c r="A12" s="53"/>
      <c r="B12" s="59"/>
      <c r="C12" s="59"/>
      <c r="D12" s="11" t="s">
        <v>139</v>
      </c>
      <c r="E12" s="232"/>
      <c r="F12" s="232"/>
      <c r="G12" s="232"/>
      <c r="H12" s="232"/>
      <c r="I12" s="232"/>
      <c r="J12" s="232"/>
    </row>
    <row r="13" spans="1:11" ht="25.9" customHeight="1" x14ac:dyDescent="0.2">
      <c r="A13" s="89"/>
      <c r="B13" s="132" t="s">
        <v>5</v>
      </c>
      <c r="C13" s="30" t="s">
        <v>6</v>
      </c>
      <c r="D13" s="132" t="s">
        <v>7</v>
      </c>
      <c r="E13" s="133"/>
      <c r="F13" s="133"/>
      <c r="G13" s="133"/>
      <c r="H13" s="133"/>
      <c r="I13" s="133"/>
      <c r="J13" s="133"/>
      <c r="K13" s="134"/>
    </row>
    <row r="14" spans="1:11" ht="15" customHeight="1" x14ac:dyDescent="0.2">
      <c r="A14" s="61">
        <v>1</v>
      </c>
      <c r="B14" s="62" t="s">
        <v>8</v>
      </c>
      <c r="C14" s="63">
        <f>10720*C28</f>
        <v>11041.6</v>
      </c>
      <c r="D14" s="63">
        <f>ROUND(C14,0)</f>
        <v>11042</v>
      </c>
      <c r="E14" s="135"/>
      <c r="F14" s="89"/>
      <c r="G14" s="89"/>
      <c r="H14" s="89"/>
      <c r="I14" s="89"/>
      <c r="J14" s="89"/>
      <c r="K14" s="134"/>
    </row>
    <row r="15" spans="1:11" ht="15" customHeight="1" x14ac:dyDescent="0.2">
      <c r="A15" s="61">
        <v>2</v>
      </c>
      <c r="B15" s="62" t="s">
        <v>21</v>
      </c>
      <c r="C15" s="63">
        <f>93881*C28</f>
        <v>96697.430000000008</v>
      </c>
      <c r="D15" s="63">
        <f>ROUND(C15,0)</f>
        <v>96697</v>
      </c>
      <c r="E15" s="135"/>
      <c r="F15" s="89"/>
      <c r="G15" s="89"/>
      <c r="H15" s="89"/>
      <c r="I15" s="89"/>
      <c r="J15" s="89"/>
      <c r="K15" s="134"/>
    </row>
    <row r="16" spans="1:11" ht="40.9" customHeight="1" x14ac:dyDescent="0.2">
      <c r="A16" s="61">
        <v>3</v>
      </c>
      <c r="B16" s="64" t="s">
        <v>22</v>
      </c>
      <c r="C16" s="63">
        <f>77260*C28</f>
        <v>79577.8</v>
      </c>
      <c r="D16" s="63">
        <f>ROUND(C16,0)</f>
        <v>79578</v>
      </c>
      <c r="E16" s="135"/>
      <c r="F16" s="89"/>
      <c r="G16" s="89"/>
      <c r="H16" s="89"/>
      <c r="I16" s="89"/>
      <c r="J16" s="89"/>
      <c r="K16" s="134"/>
    </row>
    <row r="17" spans="1:11" ht="32.450000000000003" customHeight="1" x14ac:dyDescent="0.2">
      <c r="A17" s="61">
        <v>4</v>
      </c>
      <c r="B17" s="64" t="s">
        <v>30</v>
      </c>
      <c r="C17" s="63">
        <f>21360*C28</f>
        <v>22000.799999999999</v>
      </c>
      <c r="D17" s="63">
        <f>ROUND(C17,0)</f>
        <v>22001</v>
      </c>
      <c r="E17" s="135"/>
      <c r="F17" s="89"/>
      <c r="G17" s="89"/>
      <c r="H17" s="89"/>
      <c r="I17" s="89"/>
      <c r="J17" s="89"/>
      <c r="K17" s="134"/>
    </row>
    <row r="18" spans="1:11" ht="12.75" x14ac:dyDescent="0.2">
      <c r="A18" s="160"/>
      <c r="B18" s="20" t="s">
        <v>140</v>
      </c>
      <c r="C18" s="20"/>
      <c r="D18" s="65">
        <f>SUM(D14:D17)</f>
        <v>209318</v>
      </c>
      <c r="E18" s="89"/>
      <c r="F18" s="89"/>
      <c r="G18" s="89"/>
      <c r="H18" s="89"/>
      <c r="I18" s="89"/>
      <c r="J18" s="89"/>
      <c r="K18" s="134"/>
    </row>
    <row r="19" spans="1:11" ht="12.75" x14ac:dyDescent="0.2">
      <c r="A19" s="160"/>
      <c r="B19" s="160"/>
      <c r="C19" s="160"/>
      <c r="D19" s="160"/>
      <c r="E19" s="89"/>
      <c r="F19" s="89"/>
      <c r="G19" s="89"/>
      <c r="H19" s="89"/>
      <c r="I19" s="89"/>
      <c r="J19" s="89"/>
      <c r="K19" s="134"/>
    </row>
    <row r="20" spans="1:11" ht="12.75" x14ac:dyDescent="0.2">
      <c r="A20" s="160"/>
      <c r="B20" s="25"/>
      <c r="C20" s="25"/>
      <c r="D20" s="160"/>
      <c r="E20" s="53"/>
      <c r="F20" s="53"/>
      <c r="G20" s="53"/>
      <c r="H20" s="53"/>
      <c r="I20" s="53"/>
      <c r="J20" s="53"/>
    </row>
    <row r="21" spans="1:11" s="92" customFormat="1" ht="12.75" x14ac:dyDescent="0.2">
      <c r="A21" s="1"/>
      <c r="B21" s="182" t="s">
        <v>10</v>
      </c>
      <c r="C21" s="77"/>
      <c r="D21" s="72">
        <v>71</v>
      </c>
    </row>
    <row r="22" spans="1:11" s="1" customFormat="1" ht="12.75" x14ac:dyDescent="0.2"/>
    <row r="23" spans="1:11" s="92" customFormat="1" ht="12.75" x14ac:dyDescent="0.2">
      <c r="A23" s="1"/>
      <c r="B23" s="182" t="s">
        <v>11</v>
      </c>
      <c r="C23" s="77"/>
      <c r="D23" s="183">
        <v>360</v>
      </c>
    </row>
    <row r="24" spans="1:11" hidden="1" x14ac:dyDescent="0.15"/>
    <row r="25" spans="1:11" hidden="1" x14ac:dyDescent="0.15"/>
    <row r="26" spans="1:11" hidden="1" x14ac:dyDescent="0.15"/>
    <row r="27" spans="1:11" hidden="1" x14ac:dyDescent="0.15"/>
    <row r="28" spans="1:11" ht="25.5" hidden="1" x14ac:dyDescent="0.2">
      <c r="B28" s="26" t="s">
        <v>12</v>
      </c>
      <c r="C28" s="27">
        <v>1.03</v>
      </c>
    </row>
    <row r="29" spans="1:11" hidden="1" x14ac:dyDescent="0.15"/>
  </sheetData>
  <mergeCells count="6">
    <mergeCell ref="A1:J1"/>
    <mergeCell ref="A2:J2"/>
    <mergeCell ref="A3:J3"/>
    <mergeCell ref="A4:J4"/>
    <mergeCell ref="E11:J12"/>
    <mergeCell ref="D6:G6"/>
  </mergeCells>
  <pageMargins left="0.70000000000000007" right="0.70000000000000007" top="0.75" bottom="0.75" header="0.30000000000000004" footer="0.30000000000000004"/>
  <pageSetup scale="80" fitToWidth="0" fitToHeight="0" orientation="landscape" r:id="rId1"/>
  <headerFooter>
    <oddFooter>&amp;C&amp;8 2014 UMC SINGLE LUNG</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4" zoomScaleNormal="100" workbookViewId="0">
      <selection activeCell="B9" sqref="B9"/>
    </sheetView>
  </sheetViews>
  <sheetFormatPr defaultRowHeight="12" x14ac:dyDescent="0.15"/>
  <cols>
    <col min="1" max="1" width="3.75" customWidth="1"/>
    <col min="2" max="2" width="31.5" customWidth="1"/>
    <col min="3" max="3" width="13.25" hidden="1" customWidth="1"/>
    <col min="4" max="4" width="16.5" customWidth="1"/>
    <col min="5" max="5" width="10.5" customWidth="1"/>
    <col min="6" max="6" width="8.875" customWidth="1"/>
    <col min="7" max="7" width="10.375" customWidth="1"/>
    <col min="8" max="8" width="8" customWidth="1"/>
    <col min="9" max="9" width="13.5" customWidth="1"/>
    <col min="10" max="10" width="8.875" customWidth="1"/>
  </cols>
  <sheetData>
    <row r="1" spans="1:10" ht="19.899999999999999" customHeight="1" x14ac:dyDescent="0.2">
      <c r="A1" s="1"/>
      <c r="B1" s="1"/>
      <c r="C1" s="1"/>
      <c r="D1" s="1"/>
      <c r="E1" s="1"/>
      <c r="F1" s="1"/>
      <c r="G1" s="1"/>
      <c r="H1" s="1"/>
      <c r="I1" s="1"/>
      <c r="J1" s="1"/>
    </row>
    <row r="2" spans="1:10" ht="19.899999999999999" customHeight="1" x14ac:dyDescent="0.25">
      <c r="A2" s="222" t="s">
        <v>182</v>
      </c>
      <c r="B2" s="222"/>
      <c r="C2" s="222"/>
      <c r="D2" s="222"/>
      <c r="E2" s="222"/>
      <c r="F2" s="222"/>
      <c r="G2" s="222"/>
      <c r="H2" s="222"/>
      <c r="I2" s="222"/>
      <c r="J2" s="222"/>
    </row>
    <row r="3" spans="1:10" ht="19.899999999999999" customHeight="1" x14ac:dyDescent="0.25">
      <c r="A3" s="227" t="s">
        <v>192</v>
      </c>
      <c r="B3" s="227"/>
      <c r="C3" s="227"/>
      <c r="D3" s="227"/>
      <c r="E3" s="227"/>
      <c r="F3" s="227"/>
      <c r="G3" s="227"/>
      <c r="H3" s="227"/>
      <c r="I3" s="227"/>
      <c r="J3" s="227"/>
    </row>
    <row r="4" spans="1:10" ht="19.899999999999999" customHeight="1" x14ac:dyDescent="0.25">
      <c r="A4" s="227" t="s">
        <v>1</v>
      </c>
      <c r="B4" s="227"/>
      <c r="C4" s="227"/>
      <c r="D4" s="227"/>
      <c r="E4" s="227"/>
      <c r="F4" s="227"/>
      <c r="G4" s="227"/>
      <c r="H4" s="227"/>
      <c r="I4" s="227"/>
      <c r="J4" s="227"/>
    </row>
    <row r="5" spans="1:10" ht="19.899999999999999" customHeight="1" x14ac:dyDescent="0.25">
      <c r="A5" s="222" t="s">
        <v>183</v>
      </c>
      <c r="B5" s="222"/>
      <c r="C5" s="222"/>
      <c r="D5" s="222"/>
      <c r="E5" s="222"/>
      <c r="F5" s="222"/>
      <c r="G5" s="222"/>
      <c r="H5" s="222"/>
      <c r="I5" s="222"/>
      <c r="J5" s="222"/>
    </row>
    <row r="6" spans="1:10" ht="19.899999999999999" customHeight="1" x14ac:dyDescent="0.25">
      <c r="A6" s="2"/>
      <c r="B6" s="2"/>
      <c r="C6" s="2"/>
      <c r="D6" s="2"/>
      <c r="E6" s="2"/>
      <c r="F6" s="2"/>
      <c r="G6" s="2"/>
      <c r="H6" s="2"/>
      <c r="I6" s="2"/>
      <c r="J6" s="2"/>
    </row>
    <row r="7" spans="1:10" ht="19.899999999999999" customHeight="1" x14ac:dyDescent="0.25">
      <c r="A7" s="4"/>
      <c r="B7" s="5"/>
      <c r="C7" s="5"/>
      <c r="D7" s="248" t="s">
        <v>223</v>
      </c>
      <c r="E7" s="249"/>
      <c r="F7" s="249"/>
      <c r="G7" s="249"/>
      <c r="H7" s="4"/>
      <c r="I7" s="4"/>
      <c r="J7" s="4"/>
    </row>
    <row r="8" spans="1:10" ht="15" x14ac:dyDescent="0.25">
      <c r="A8" s="4"/>
      <c r="B8" s="5"/>
      <c r="C8" s="5"/>
      <c r="D8" s="4"/>
      <c r="E8" s="4"/>
      <c r="F8" s="4"/>
      <c r="G8" s="4"/>
      <c r="H8" s="4"/>
      <c r="I8" s="4"/>
      <c r="J8" s="4"/>
    </row>
    <row r="9" spans="1:10" ht="15" x14ac:dyDescent="0.25">
      <c r="A9" s="4"/>
      <c r="B9" s="5"/>
      <c r="C9" s="5"/>
      <c r="D9" s="4"/>
      <c r="E9" s="4"/>
      <c r="F9" s="4"/>
      <c r="G9" s="4"/>
      <c r="H9" s="4"/>
      <c r="I9" s="4"/>
      <c r="J9" s="4"/>
    </row>
    <row r="10" spans="1:10" ht="15" x14ac:dyDescent="0.25">
      <c r="A10" s="4"/>
      <c r="B10" s="5"/>
      <c r="C10" s="5"/>
      <c r="D10" s="4"/>
      <c r="E10" s="4"/>
      <c r="F10" s="4"/>
      <c r="G10" s="4"/>
      <c r="H10" s="4"/>
      <c r="I10" s="4"/>
      <c r="J10" s="4"/>
    </row>
    <row r="11" spans="1:10" ht="12.75" x14ac:dyDescent="0.2">
      <c r="A11" s="1"/>
      <c r="B11" s="7"/>
      <c r="C11" s="7"/>
      <c r="D11" s="8"/>
      <c r="E11" s="1"/>
      <c r="F11" s="1"/>
      <c r="G11" s="1"/>
      <c r="H11" s="1"/>
      <c r="I11" s="1"/>
      <c r="J11" s="1"/>
    </row>
    <row r="12" spans="1:10" ht="12.75" x14ac:dyDescent="0.2">
      <c r="A12" s="1"/>
      <c r="B12" s="1"/>
      <c r="C12" s="1"/>
      <c r="D12" s="9" t="s">
        <v>144</v>
      </c>
      <c r="E12" s="232"/>
      <c r="F12" s="232"/>
      <c r="G12" s="232"/>
      <c r="H12" s="232"/>
      <c r="I12" s="232"/>
      <c r="J12" s="232"/>
    </row>
    <row r="13" spans="1:10" ht="0.6" customHeight="1" x14ac:dyDescent="0.2">
      <c r="A13" s="1"/>
      <c r="B13" s="10"/>
      <c r="C13" s="10"/>
      <c r="D13" s="11"/>
      <c r="E13" s="232"/>
      <c r="F13" s="232"/>
      <c r="G13" s="232"/>
      <c r="H13" s="232"/>
      <c r="I13" s="232"/>
      <c r="J13" s="232"/>
    </row>
    <row r="14" spans="1:10" s="1" customFormat="1" ht="18" customHeight="1" x14ac:dyDescent="0.2">
      <c r="B14" s="1" t="s">
        <v>5</v>
      </c>
      <c r="C14" s="30" t="s">
        <v>6</v>
      </c>
      <c r="D14" s="12" t="s">
        <v>7</v>
      </c>
      <c r="E14" s="161"/>
      <c r="F14" s="161"/>
      <c r="G14" s="161"/>
      <c r="H14" s="161"/>
      <c r="I14" s="161"/>
      <c r="J14" s="162"/>
    </row>
    <row r="15" spans="1:10" s="1" customFormat="1" ht="18" customHeight="1" x14ac:dyDescent="0.2">
      <c r="A15" s="14">
        <v>1</v>
      </c>
      <c r="B15" s="184" t="s">
        <v>8</v>
      </c>
      <c r="C15" s="151">
        <f>10721*C28</f>
        <v>11042.630000000001</v>
      </c>
      <c r="D15" s="151">
        <f>ROUND(C15,0)</f>
        <v>11043</v>
      </c>
      <c r="E15" s="185"/>
    </row>
    <row r="16" spans="1:10" s="1" customFormat="1" ht="12.75" x14ac:dyDescent="0.2">
      <c r="A16" s="14">
        <v>2</v>
      </c>
      <c r="B16" s="184" t="s">
        <v>21</v>
      </c>
      <c r="C16" s="151">
        <f>112147*C28</f>
        <v>115511.41</v>
      </c>
      <c r="D16" s="151">
        <f>ROUND(C16,0)</f>
        <v>115511</v>
      </c>
      <c r="E16" s="185"/>
    </row>
    <row r="17" spans="1:10" s="1" customFormat="1" ht="43.7" customHeight="1" x14ac:dyDescent="0.2">
      <c r="A17" s="14">
        <v>3</v>
      </c>
      <c r="B17" s="186" t="s">
        <v>22</v>
      </c>
      <c r="C17" s="187">
        <f>85301*C28</f>
        <v>87860.03</v>
      </c>
      <c r="D17" s="151">
        <f>ROUND(C17,0)</f>
        <v>87860</v>
      </c>
      <c r="E17" s="185"/>
    </row>
    <row r="18" spans="1:10" s="1" customFormat="1" ht="36.6" customHeight="1" x14ac:dyDescent="0.2">
      <c r="A18" s="14">
        <v>4</v>
      </c>
      <c r="B18" s="186" t="s">
        <v>30</v>
      </c>
      <c r="C18" s="187">
        <f>18558*C28</f>
        <v>19114.740000000002</v>
      </c>
      <c r="D18" s="151">
        <f>ROUND(C18,0)</f>
        <v>19115</v>
      </c>
      <c r="E18" s="185"/>
    </row>
    <row r="19" spans="1:10" s="1" customFormat="1" ht="4.9000000000000004" customHeight="1" x14ac:dyDescent="0.2">
      <c r="A19" s="118"/>
      <c r="B19" s="188"/>
      <c r="C19" s="188"/>
      <c r="D19" s="189"/>
      <c r="E19" s="185"/>
    </row>
    <row r="20" spans="1:10" s="1" customFormat="1" ht="12.75" x14ac:dyDescent="0.2">
      <c r="B20" s="20" t="s">
        <v>111</v>
      </c>
      <c r="C20" s="20"/>
      <c r="D20" s="21">
        <f>SUM(D15:D18)</f>
        <v>233529</v>
      </c>
    </row>
    <row r="21" spans="1:10" s="1" customFormat="1" ht="12.75" x14ac:dyDescent="0.2"/>
    <row r="22" spans="1:10" s="1" customFormat="1" ht="12.75" x14ac:dyDescent="0.2">
      <c r="B22" s="25"/>
      <c r="C22" s="25"/>
    </row>
    <row r="23" spans="1:10" s="1" customFormat="1" ht="12.75" x14ac:dyDescent="0.2">
      <c r="B23" s="15" t="s">
        <v>10</v>
      </c>
      <c r="C23" s="15"/>
      <c r="D23" s="190">
        <v>71</v>
      </c>
    </row>
    <row r="24" spans="1:10" s="1" customFormat="1" ht="12.75" x14ac:dyDescent="0.2">
      <c r="D24" s="139"/>
    </row>
    <row r="25" spans="1:10" s="1" customFormat="1" ht="12.75" x14ac:dyDescent="0.2">
      <c r="B25" s="15" t="s">
        <v>11</v>
      </c>
      <c r="C25" s="15"/>
      <c r="D25" s="190">
        <v>360</v>
      </c>
    </row>
    <row r="26" spans="1:10" ht="12.75" hidden="1" x14ac:dyDescent="0.2">
      <c r="A26" s="134"/>
      <c r="B26" s="134"/>
      <c r="C26" s="134"/>
      <c r="D26" s="134"/>
      <c r="E26" s="134"/>
      <c r="F26" s="134"/>
      <c r="G26" s="134"/>
      <c r="H26" s="134"/>
      <c r="I26" s="134"/>
      <c r="J26" s="134"/>
    </row>
    <row r="27" spans="1:10" ht="13.9" hidden="1" customHeight="1" x14ac:dyDescent="0.2">
      <c r="A27" s="134"/>
      <c r="B27" s="134"/>
      <c r="C27" s="134"/>
      <c r="D27" s="134"/>
      <c r="E27" s="134"/>
      <c r="F27" s="134"/>
      <c r="G27" s="134"/>
      <c r="H27" s="134"/>
      <c r="I27" s="134"/>
      <c r="J27" s="134"/>
    </row>
    <row r="28" spans="1:10" ht="25.5" hidden="1" x14ac:dyDescent="0.2">
      <c r="B28" s="26" t="s">
        <v>12</v>
      </c>
      <c r="C28" s="27">
        <v>1.03</v>
      </c>
    </row>
  </sheetData>
  <mergeCells count="6">
    <mergeCell ref="A2:J2"/>
    <mergeCell ref="A3:J3"/>
    <mergeCell ref="A4:J4"/>
    <mergeCell ref="A5:J5"/>
    <mergeCell ref="E12:J13"/>
    <mergeCell ref="D7:G7"/>
  </mergeCells>
  <pageMargins left="0.70000000000000007" right="0.70000000000000007" top="0.75" bottom="0.75" header="0.30000000000000004" footer="0.30000000000000004"/>
  <pageSetup scale="80" fitToWidth="0" fitToHeight="0" orientation="landscape" r:id="rId1"/>
  <headerFooter>
    <oddFooter>&amp;C&amp;8 2014 UMC DOUBLE LUNG</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topLeftCell="A5" zoomScaleNormal="100" workbookViewId="0">
      <selection activeCell="E16" sqref="E16"/>
    </sheetView>
  </sheetViews>
  <sheetFormatPr defaultColWidth="9" defaultRowHeight="12.75" x14ac:dyDescent="0.2"/>
  <cols>
    <col min="1" max="1" width="2.875" style="1" customWidth="1"/>
    <col min="2" max="2" width="35.625" style="1" customWidth="1"/>
    <col min="3" max="3" width="17" style="1" hidden="1" customWidth="1"/>
    <col min="4" max="4" width="22.125" style="1" customWidth="1"/>
    <col min="5" max="6" width="18.625" style="1" customWidth="1"/>
    <col min="7" max="8" width="12.625" style="1" customWidth="1"/>
    <col min="9" max="9" width="17.625" style="1" customWidth="1"/>
    <col min="10" max="10" width="7.625" style="1" customWidth="1"/>
    <col min="11" max="11" width="26.125" style="1" customWidth="1"/>
    <col min="12" max="12" width="9" style="1" customWidth="1"/>
    <col min="13" max="16384" width="9" style="1"/>
  </cols>
  <sheetData>
    <row r="1" spans="1:11" ht="19.899999999999999" customHeight="1" x14ac:dyDescent="0.2"/>
    <row r="2" spans="1:11" s="3" customFormat="1" ht="19.899999999999999" customHeight="1" x14ac:dyDescent="0.25">
      <c r="A2" s="222" t="s">
        <v>182</v>
      </c>
      <c r="B2" s="222"/>
      <c r="C2" s="222"/>
      <c r="D2" s="222"/>
      <c r="E2" s="222"/>
      <c r="F2" s="222"/>
      <c r="G2" s="222"/>
      <c r="H2" s="222"/>
      <c r="I2" s="222"/>
      <c r="J2" s="222"/>
      <c r="K2" s="222"/>
    </row>
    <row r="3" spans="1:11" s="3" customFormat="1" ht="19.899999999999999" customHeight="1" x14ac:dyDescent="0.25">
      <c r="A3" s="227" t="s">
        <v>55</v>
      </c>
      <c r="B3" s="227"/>
      <c r="C3" s="227"/>
      <c r="D3" s="227"/>
      <c r="E3" s="227"/>
      <c r="F3" s="227"/>
      <c r="G3" s="227"/>
      <c r="H3" s="227"/>
      <c r="I3" s="227"/>
      <c r="J3" s="227"/>
      <c r="K3" s="227"/>
    </row>
    <row r="4" spans="1:11" s="3" customFormat="1" ht="19.899999999999999" customHeight="1" x14ac:dyDescent="0.25">
      <c r="A4" s="222" t="s">
        <v>1</v>
      </c>
      <c r="B4" s="222"/>
      <c r="C4" s="222"/>
      <c r="D4" s="222"/>
      <c r="E4" s="222"/>
      <c r="F4" s="222"/>
      <c r="G4" s="222"/>
      <c r="H4" s="222"/>
      <c r="I4" s="222"/>
      <c r="J4" s="222"/>
      <c r="K4" s="222"/>
    </row>
    <row r="5" spans="1:11" s="3" customFormat="1" ht="19.899999999999999" customHeight="1" x14ac:dyDescent="0.25">
      <c r="A5" s="222" t="s">
        <v>183</v>
      </c>
      <c r="B5" s="222"/>
      <c r="C5" s="222"/>
      <c r="D5" s="222"/>
      <c r="E5" s="222"/>
      <c r="F5" s="222"/>
      <c r="G5" s="222"/>
      <c r="H5" s="222"/>
      <c r="I5" s="222"/>
      <c r="J5" s="222"/>
      <c r="K5" s="222"/>
    </row>
    <row r="6" spans="1:11" s="3" customFormat="1" ht="19.899999999999999" customHeight="1" x14ac:dyDescent="0.25">
      <c r="A6" s="2"/>
      <c r="B6" s="2"/>
      <c r="C6" s="2"/>
      <c r="D6" s="2"/>
      <c r="E6" s="2"/>
      <c r="F6" s="2"/>
      <c r="G6" s="2"/>
      <c r="H6" s="2"/>
      <c r="I6" s="2"/>
      <c r="J6" s="2"/>
      <c r="K6" s="2"/>
    </row>
    <row r="7" spans="1:11" s="4" customFormat="1" ht="59.45" customHeight="1" x14ac:dyDescent="0.25">
      <c r="B7" s="5"/>
      <c r="C7" s="5"/>
      <c r="E7" s="251" t="s">
        <v>246</v>
      </c>
      <c r="F7" s="241"/>
      <c r="G7" s="241"/>
      <c r="H7" s="252"/>
    </row>
    <row r="8" spans="1:11" ht="12" customHeight="1" x14ac:dyDescent="0.2">
      <c r="B8" s="7"/>
      <c r="C8" s="7"/>
      <c r="D8" s="8"/>
    </row>
    <row r="9" spans="1:11" ht="13.5" customHeight="1" x14ac:dyDescent="0.2">
      <c r="D9" s="9" t="s">
        <v>56</v>
      </c>
      <c r="E9" s="232"/>
      <c r="F9" s="232"/>
      <c r="G9" s="232"/>
      <c r="H9" s="232"/>
      <c r="I9" s="232"/>
      <c r="J9" s="232"/>
      <c r="K9" s="232"/>
    </row>
    <row r="10" spans="1:11" ht="24" customHeight="1" x14ac:dyDescent="0.2">
      <c r="B10" s="10"/>
      <c r="C10" s="10"/>
      <c r="D10" s="11" t="s">
        <v>72</v>
      </c>
      <c r="E10" s="232"/>
      <c r="F10" s="232"/>
      <c r="G10" s="232"/>
      <c r="H10" s="232"/>
      <c r="I10" s="232"/>
      <c r="J10" s="232"/>
      <c r="K10" s="232"/>
    </row>
    <row r="11" spans="1:11" ht="24.95" customHeight="1" x14ac:dyDescent="0.2">
      <c r="B11" s="12" t="s">
        <v>5</v>
      </c>
      <c r="C11" s="30" t="s">
        <v>6</v>
      </c>
      <c r="D11" s="60" t="s">
        <v>7</v>
      </c>
      <c r="E11" s="11"/>
      <c r="F11" s="11"/>
      <c r="G11" s="9"/>
      <c r="H11" s="9"/>
      <c r="I11" s="11"/>
      <c r="J11" s="11"/>
      <c r="K11" s="11"/>
    </row>
    <row r="12" spans="1:11" ht="15" customHeight="1" x14ac:dyDescent="0.2">
      <c r="A12" s="14">
        <v>1</v>
      </c>
      <c r="B12" s="15" t="s">
        <v>8</v>
      </c>
      <c r="C12" s="17">
        <f>9347*C28</f>
        <v>9627.41</v>
      </c>
      <c r="D12" s="138">
        <f>ROUND(C12,0)</f>
        <v>9627</v>
      </c>
      <c r="E12" s="18"/>
    </row>
    <row r="13" spans="1:11" ht="15" customHeight="1" x14ac:dyDescent="0.2">
      <c r="A13" s="14">
        <v>2</v>
      </c>
      <c r="B13" s="15" t="s">
        <v>21</v>
      </c>
      <c r="C13" s="17">
        <f>87172*C28</f>
        <v>89787.16</v>
      </c>
      <c r="D13" s="138">
        <f>ROUND(C13,0)</f>
        <v>89787</v>
      </c>
      <c r="E13" s="18"/>
    </row>
    <row r="14" spans="1:11" ht="46.5" customHeight="1" x14ac:dyDescent="0.2">
      <c r="A14" s="14">
        <v>3</v>
      </c>
      <c r="B14" s="35" t="s">
        <v>22</v>
      </c>
      <c r="C14" s="17">
        <f>66021*C28</f>
        <v>68001.63</v>
      </c>
      <c r="D14" s="138">
        <f>ROUND(C14,0)</f>
        <v>68002</v>
      </c>
      <c r="E14" s="18"/>
    </row>
    <row r="15" spans="1:11" ht="30.75" customHeight="1" x14ac:dyDescent="0.2">
      <c r="A15" s="14">
        <v>4</v>
      </c>
      <c r="B15" s="35" t="s">
        <v>30</v>
      </c>
      <c r="C15" s="17">
        <f>28057*C28</f>
        <v>28898.71</v>
      </c>
      <c r="D15" s="138">
        <f>ROUND(C15,0)</f>
        <v>28899</v>
      </c>
      <c r="E15" s="18"/>
    </row>
    <row r="16" spans="1:11" ht="29.25" customHeight="1" x14ac:dyDescent="0.2">
      <c r="B16" s="20" t="s">
        <v>57</v>
      </c>
      <c r="C16" s="20"/>
      <c r="D16" s="21">
        <f>SUM(D12:D15)</f>
        <v>196315</v>
      </c>
      <c r="K16" s="36"/>
    </row>
    <row r="17" spans="1:11" ht="15.75" customHeight="1" x14ac:dyDescent="0.2">
      <c r="B17" s="20"/>
      <c r="C17" s="20"/>
      <c r="D17" s="21"/>
      <c r="K17" s="36"/>
    </row>
    <row r="18" spans="1:11" ht="26.25" customHeight="1" x14ac:dyDescent="0.2">
      <c r="A18" s="15">
        <v>9</v>
      </c>
      <c r="B18" s="52" t="s">
        <v>58</v>
      </c>
      <c r="C18" s="209"/>
      <c r="D18" s="210"/>
      <c r="K18" s="36"/>
    </row>
    <row r="19" spans="1:11" ht="21.75" customHeight="1" x14ac:dyDescent="0.2"/>
    <row r="20" spans="1:11" ht="15" customHeight="1" x14ac:dyDescent="0.2">
      <c r="B20" s="15" t="s">
        <v>10</v>
      </c>
      <c r="C20" s="22"/>
      <c r="D20" s="23">
        <v>71</v>
      </c>
    </row>
    <row r="21" spans="1:11" ht="15" customHeight="1" x14ac:dyDescent="0.2">
      <c r="B21" s="24"/>
      <c r="C21" s="24"/>
    </row>
    <row r="22" spans="1:11" ht="15" customHeight="1" x14ac:dyDescent="0.2">
      <c r="B22" s="15" t="s">
        <v>11</v>
      </c>
      <c r="C22" s="22"/>
      <c r="D22" s="23">
        <v>360</v>
      </c>
    </row>
    <row r="23" spans="1:11" ht="10.5" customHeight="1" x14ac:dyDescent="0.2">
      <c r="B23" s="25"/>
      <c r="C23" s="25"/>
    </row>
    <row r="24" spans="1:11" ht="78.599999999999994" customHeight="1" x14ac:dyDescent="0.2">
      <c r="B24" s="235" t="s">
        <v>193</v>
      </c>
      <c r="C24" s="230"/>
      <c r="D24" s="231"/>
      <c r="E24" s="235" t="s">
        <v>194</v>
      </c>
      <c r="F24" s="250"/>
    </row>
    <row r="26" spans="1:11" customFormat="1" ht="100.15" customHeight="1" x14ac:dyDescent="0.2">
      <c r="A26" s="1"/>
      <c r="B26" s="235" t="s">
        <v>62</v>
      </c>
      <c r="C26" s="230"/>
      <c r="D26" s="231"/>
      <c r="E26" s="1"/>
      <c r="F26" s="1"/>
      <c r="G26" s="1"/>
      <c r="H26" s="1"/>
      <c r="I26" s="1"/>
      <c r="J26" s="1"/>
      <c r="K26" s="1"/>
    </row>
    <row r="27" spans="1:11" customFormat="1" ht="140.25" hidden="1" customHeight="1" x14ac:dyDescent="0.2">
      <c r="A27" s="1"/>
      <c r="B27" s="24"/>
      <c r="C27" s="24"/>
      <c r="D27" s="1"/>
      <c r="E27" s="1"/>
      <c r="F27" s="1"/>
      <c r="G27" s="1"/>
      <c r="H27" s="1"/>
      <c r="I27" s="1"/>
      <c r="J27" s="1"/>
      <c r="K27" s="1"/>
    </row>
    <row r="28" spans="1:11" ht="25.5" hidden="1" x14ac:dyDescent="0.2">
      <c r="B28" s="26" t="s">
        <v>12</v>
      </c>
      <c r="C28" s="27">
        <v>1.03</v>
      </c>
    </row>
    <row r="29" spans="1:11" customFormat="1" hidden="1" x14ac:dyDescent="0.2">
      <c r="A29" s="1"/>
      <c r="B29" s="46"/>
      <c r="C29" s="46"/>
      <c r="D29" s="1"/>
      <c r="E29" s="1"/>
      <c r="F29" s="1"/>
      <c r="G29" s="1"/>
      <c r="H29" s="1"/>
      <c r="I29" s="1"/>
      <c r="J29" s="1"/>
      <c r="K29" s="1"/>
    </row>
  </sheetData>
  <mergeCells count="9">
    <mergeCell ref="B24:D24"/>
    <mergeCell ref="E24:F24"/>
    <mergeCell ref="B26:D26"/>
    <mergeCell ref="A2:K2"/>
    <mergeCell ref="A3:K3"/>
    <mergeCell ref="A4:K4"/>
    <mergeCell ref="A5:K5"/>
    <mergeCell ref="E9:K10"/>
    <mergeCell ref="E7:H7"/>
  </mergeCells>
  <pageMargins left="0.25" right="0.25" top="0.25" bottom="0.25" header="0.25" footer="0.25"/>
  <pageSetup scale="68" fitToWidth="0" fitToHeight="0" orientation="landscape"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E10" sqref="E10"/>
    </sheetView>
  </sheetViews>
  <sheetFormatPr defaultRowHeight="12" x14ac:dyDescent="0.15"/>
  <cols>
    <col min="1" max="1" width="3.625" customWidth="1"/>
    <col min="2" max="2" width="37.5" customWidth="1"/>
    <col min="3" max="3" width="16.5" hidden="1" customWidth="1"/>
    <col min="4" max="4" width="19.75" customWidth="1"/>
    <col min="5" max="5" width="25.5" customWidth="1"/>
    <col min="6" max="6" width="10.5" customWidth="1"/>
    <col min="7" max="7" width="10.25" customWidth="1"/>
    <col min="8" max="8" width="8.875" customWidth="1"/>
    <col min="9" max="9" width="10.625" customWidth="1"/>
    <col min="10" max="10" width="8.875" customWidth="1"/>
  </cols>
  <sheetData>
    <row r="1" spans="1:11" ht="19.899999999999999" customHeight="1" x14ac:dyDescent="0.25">
      <c r="A1" s="222" t="s">
        <v>182</v>
      </c>
      <c r="B1" s="222"/>
      <c r="C1" s="222"/>
      <c r="D1" s="222"/>
      <c r="E1" s="222"/>
      <c r="F1" s="222"/>
      <c r="G1" s="222"/>
      <c r="H1" s="222"/>
      <c r="I1" s="222"/>
      <c r="J1" s="222"/>
      <c r="K1" s="3"/>
    </row>
    <row r="2" spans="1:11" ht="19.899999999999999" customHeight="1" x14ac:dyDescent="0.25">
      <c r="A2" s="227" t="s">
        <v>195</v>
      </c>
      <c r="B2" s="227"/>
      <c r="C2" s="227"/>
      <c r="D2" s="227"/>
      <c r="E2" s="227"/>
      <c r="F2" s="227"/>
      <c r="G2" s="227"/>
      <c r="H2" s="227"/>
      <c r="I2" s="227"/>
      <c r="J2" s="227"/>
      <c r="K2" s="3"/>
    </row>
    <row r="3" spans="1:11" ht="19.899999999999999" customHeight="1" x14ac:dyDescent="0.25">
      <c r="A3" s="222" t="s">
        <v>1</v>
      </c>
      <c r="B3" s="222"/>
      <c r="C3" s="222"/>
      <c r="D3" s="222"/>
      <c r="E3" s="222"/>
      <c r="F3" s="222"/>
      <c r="G3" s="222"/>
      <c r="H3" s="222"/>
      <c r="I3" s="222"/>
      <c r="J3" s="222"/>
      <c r="K3" s="3"/>
    </row>
    <row r="4" spans="1:11" ht="19.899999999999999" customHeight="1" x14ac:dyDescent="0.25">
      <c r="A4" s="222" t="s">
        <v>183</v>
      </c>
      <c r="B4" s="222"/>
      <c r="C4" s="222"/>
      <c r="D4" s="222"/>
      <c r="E4" s="222"/>
      <c r="F4" s="222"/>
      <c r="G4" s="222"/>
      <c r="H4" s="222"/>
      <c r="I4" s="222"/>
      <c r="J4" s="222"/>
      <c r="K4" s="3"/>
    </row>
    <row r="5" spans="1:11" ht="30.6" customHeight="1" x14ac:dyDescent="0.25">
      <c r="A5" s="2"/>
      <c r="B5" s="2"/>
      <c r="C5" s="2"/>
      <c r="D5" s="251" t="s">
        <v>247</v>
      </c>
      <c r="E5" s="254"/>
      <c r="F5" s="254"/>
      <c r="G5" s="254"/>
      <c r="H5" s="2"/>
      <c r="I5" s="2"/>
      <c r="J5" s="2"/>
      <c r="K5" s="3"/>
    </row>
    <row r="6" spans="1:11" s="221" customFormat="1" ht="30.6" customHeight="1" x14ac:dyDescent="0.25">
      <c r="A6" s="220"/>
      <c r="B6" s="220"/>
      <c r="C6" s="220"/>
      <c r="D6" s="241"/>
      <c r="E6" s="241"/>
      <c r="F6" s="241"/>
      <c r="G6" s="241"/>
      <c r="H6" s="220"/>
      <c r="I6" s="220"/>
      <c r="J6" s="220"/>
      <c r="K6" s="3"/>
    </row>
    <row r="7" spans="1:11" ht="12.75" x14ac:dyDescent="0.2">
      <c r="A7" s="1"/>
      <c r="B7" s="7"/>
      <c r="C7" s="7"/>
      <c r="D7" s="8"/>
      <c r="E7" s="1"/>
      <c r="F7" s="1"/>
      <c r="G7" s="1"/>
      <c r="H7" s="1"/>
      <c r="I7" s="1"/>
      <c r="J7" s="1"/>
      <c r="K7" s="1"/>
    </row>
    <row r="8" spans="1:11" ht="12.75" x14ac:dyDescent="0.2">
      <c r="A8" s="1"/>
      <c r="B8" s="1"/>
      <c r="C8" s="1"/>
      <c r="D8" s="9" t="s">
        <v>229</v>
      </c>
      <c r="E8" s="232"/>
      <c r="F8" s="232"/>
      <c r="G8" s="232"/>
      <c r="H8" s="232"/>
      <c r="I8" s="232"/>
      <c r="J8" s="232"/>
      <c r="K8" s="1"/>
    </row>
    <row r="9" spans="1:11" ht="12.75" x14ac:dyDescent="0.2">
      <c r="A9" s="1"/>
      <c r="B9" s="10"/>
      <c r="C9" s="10"/>
      <c r="D9" s="11" t="s">
        <v>184</v>
      </c>
      <c r="E9" s="232"/>
      <c r="F9" s="232"/>
      <c r="G9" s="232"/>
      <c r="H9" s="232"/>
      <c r="I9" s="232"/>
      <c r="J9" s="232"/>
      <c r="K9" s="1"/>
    </row>
    <row r="10" spans="1:11" s="140" customFormat="1" ht="38.25" x14ac:dyDescent="0.2">
      <c r="A10" s="92"/>
      <c r="B10" s="136" t="s">
        <v>5</v>
      </c>
      <c r="C10" s="30" t="s">
        <v>6</v>
      </c>
      <c r="D10" s="132" t="s">
        <v>7</v>
      </c>
      <c r="E10" s="133"/>
      <c r="F10" s="133"/>
      <c r="G10" s="137"/>
      <c r="H10" s="137"/>
      <c r="I10" s="133"/>
      <c r="J10" s="133"/>
      <c r="K10" s="92"/>
    </row>
    <row r="11" spans="1:11" s="140" customFormat="1" ht="12.75" x14ac:dyDescent="0.2">
      <c r="A11" s="14">
        <v>1</v>
      </c>
      <c r="B11" s="15" t="s">
        <v>8</v>
      </c>
      <c r="C11" s="17">
        <f>8852*C32</f>
        <v>9117.56</v>
      </c>
      <c r="D11" s="17">
        <f>ROUND(C11,0)</f>
        <v>9118</v>
      </c>
      <c r="E11" s="18"/>
      <c r="F11" s="1"/>
      <c r="G11" s="92"/>
      <c r="H11" s="92"/>
      <c r="I11" s="92"/>
      <c r="J11" s="92"/>
      <c r="K11" s="92"/>
    </row>
    <row r="12" spans="1:11" s="140" customFormat="1" ht="12.75" x14ac:dyDescent="0.2">
      <c r="A12" s="14">
        <v>2</v>
      </c>
      <c r="B12" s="15" t="s">
        <v>21</v>
      </c>
      <c r="C12" s="17">
        <f>112307*C32</f>
        <v>115676.21</v>
      </c>
      <c r="D12" s="17">
        <f>ROUND(C12,0)</f>
        <v>115676</v>
      </c>
      <c r="E12" s="18"/>
      <c r="F12" s="1"/>
      <c r="G12" s="92"/>
      <c r="H12" s="92"/>
      <c r="I12" s="92"/>
      <c r="J12" s="92"/>
      <c r="K12" s="92"/>
    </row>
    <row r="13" spans="1:11" s="140" customFormat="1" ht="39" customHeight="1" x14ac:dyDescent="0.2">
      <c r="A13" s="14">
        <v>3</v>
      </c>
      <c r="B13" s="35" t="s">
        <v>22</v>
      </c>
      <c r="C13" s="17">
        <f>88533*C32</f>
        <v>91188.99</v>
      </c>
      <c r="D13" s="17">
        <f>ROUND(C13,0)</f>
        <v>91189</v>
      </c>
      <c r="E13" s="18"/>
      <c r="F13" s="1"/>
      <c r="G13" s="92"/>
      <c r="H13" s="92"/>
      <c r="I13" s="92"/>
      <c r="J13" s="92"/>
      <c r="K13" s="92"/>
    </row>
    <row r="14" spans="1:11" s="140" customFormat="1" ht="43.7" customHeight="1" x14ac:dyDescent="0.2">
      <c r="A14" s="14">
        <v>4</v>
      </c>
      <c r="B14" s="35" t="s">
        <v>30</v>
      </c>
      <c r="C14" s="17">
        <f>24169*C32</f>
        <v>24894.07</v>
      </c>
      <c r="D14" s="17">
        <f>ROUND(C14,0)</f>
        <v>24894</v>
      </c>
      <c r="E14" s="18"/>
      <c r="F14" s="1"/>
      <c r="G14" s="92"/>
      <c r="H14" s="92"/>
      <c r="I14" s="92"/>
      <c r="J14" s="92"/>
      <c r="K14" s="92"/>
    </row>
    <row r="15" spans="1:11" s="140" customFormat="1" ht="12.75" x14ac:dyDescent="0.2">
      <c r="A15" s="1"/>
      <c r="B15" s="20" t="s">
        <v>196</v>
      </c>
      <c r="C15" s="20"/>
      <c r="D15" s="21">
        <f>SUM(D11:D14)</f>
        <v>240877</v>
      </c>
      <c r="E15" s="1"/>
      <c r="F15" s="1"/>
      <c r="G15" s="92"/>
      <c r="H15" s="92"/>
      <c r="I15" s="92"/>
      <c r="J15" s="92"/>
      <c r="K15" s="92"/>
    </row>
    <row r="16" spans="1:11" s="140" customFormat="1" ht="12.75" x14ac:dyDescent="0.2">
      <c r="A16" s="1"/>
      <c r="B16" s="20"/>
      <c r="C16" s="20"/>
      <c r="D16" s="21"/>
      <c r="E16" s="1"/>
      <c r="F16" s="1"/>
      <c r="G16" s="92"/>
      <c r="H16" s="92"/>
      <c r="I16" s="92"/>
      <c r="J16" s="92"/>
      <c r="K16" s="92"/>
    </row>
    <row r="17" spans="1:11" s="140" customFormat="1" ht="15" customHeight="1" x14ac:dyDescent="0.2">
      <c r="A17" s="15">
        <v>9</v>
      </c>
      <c r="B17" s="52" t="s">
        <v>58</v>
      </c>
      <c r="C17" s="52"/>
      <c r="D17" s="48"/>
      <c r="E17" s="1"/>
      <c r="F17" s="1"/>
      <c r="G17" s="92"/>
      <c r="H17" s="92"/>
      <c r="I17" s="92"/>
      <c r="J17" s="92"/>
      <c r="K17" s="92"/>
    </row>
    <row r="18" spans="1:11" s="140" customFormat="1" ht="12.75" x14ac:dyDescent="0.2">
      <c r="A18" s="1"/>
      <c r="B18" s="1"/>
      <c r="C18" s="1"/>
      <c r="D18" s="1"/>
      <c r="E18" s="1"/>
      <c r="F18" s="1"/>
      <c r="G18" s="92"/>
      <c r="H18" s="92"/>
      <c r="I18" s="92"/>
      <c r="J18" s="92"/>
      <c r="K18" s="92"/>
    </row>
    <row r="19" spans="1:11" s="140" customFormat="1" ht="15" customHeight="1" x14ac:dyDescent="0.2">
      <c r="A19" s="1"/>
      <c r="B19" s="15" t="s">
        <v>10</v>
      </c>
      <c r="C19" s="22"/>
      <c r="D19" s="191">
        <v>71</v>
      </c>
      <c r="E19" s="1"/>
      <c r="F19" s="1"/>
      <c r="G19" s="92"/>
      <c r="H19" s="92"/>
      <c r="I19" s="92"/>
      <c r="J19" s="92"/>
      <c r="K19" s="92"/>
    </row>
    <row r="20" spans="1:11" s="140" customFormat="1" ht="12.75" x14ac:dyDescent="0.2">
      <c r="A20" s="1"/>
      <c r="B20" s="24"/>
      <c r="C20" s="24"/>
      <c r="D20" s="1"/>
      <c r="E20" s="1"/>
      <c r="F20" s="1"/>
      <c r="G20" s="92"/>
      <c r="H20" s="92"/>
      <c r="I20" s="92"/>
      <c r="J20" s="92"/>
      <c r="K20" s="92"/>
    </row>
    <row r="21" spans="1:11" s="140" customFormat="1" ht="15" customHeight="1" x14ac:dyDescent="0.2">
      <c r="A21" s="1"/>
      <c r="B21" s="15" t="s">
        <v>11</v>
      </c>
      <c r="C21" s="22"/>
      <c r="D21" s="191">
        <v>360</v>
      </c>
      <c r="E21" s="1"/>
      <c r="F21" s="1"/>
      <c r="G21" s="92"/>
      <c r="H21" s="92"/>
      <c r="I21" s="92"/>
      <c r="J21" s="92"/>
      <c r="K21" s="92"/>
    </row>
    <row r="22" spans="1:11" ht="15" customHeight="1" x14ac:dyDescent="0.2">
      <c r="A22" s="1"/>
      <c r="B22" s="25"/>
      <c r="C22" s="25"/>
      <c r="D22" s="1"/>
      <c r="E22" s="1"/>
      <c r="F22" s="1"/>
      <c r="G22" s="1"/>
      <c r="H22" s="1"/>
      <c r="I22" s="1"/>
      <c r="J22" s="1"/>
      <c r="K22" s="1"/>
    </row>
    <row r="23" spans="1:11" ht="73.150000000000006" customHeight="1" x14ac:dyDescent="0.2">
      <c r="A23" s="1"/>
      <c r="B23" s="192" t="s">
        <v>193</v>
      </c>
      <c r="C23" s="141"/>
      <c r="D23" s="92"/>
      <c r="E23" s="192" t="s">
        <v>194</v>
      </c>
      <c r="F23" s="193"/>
      <c r="G23" s="1"/>
      <c r="H23" s="1"/>
      <c r="I23" s="1"/>
      <c r="J23" s="1"/>
      <c r="K23" s="1"/>
    </row>
    <row r="24" spans="1:11" ht="3" customHeight="1" x14ac:dyDescent="0.2">
      <c r="A24" s="1"/>
      <c r="B24" s="92"/>
      <c r="C24" s="92"/>
      <c r="D24" s="92"/>
      <c r="E24" s="92"/>
      <c r="F24" s="92"/>
      <c r="G24" s="1"/>
      <c r="H24" s="1"/>
      <c r="I24" s="1"/>
      <c r="J24" s="1"/>
      <c r="K24" s="1"/>
    </row>
    <row r="25" spans="1:11" ht="70.900000000000006" customHeight="1" x14ac:dyDescent="0.2">
      <c r="A25" s="1"/>
      <c r="B25" s="253" t="s">
        <v>62</v>
      </c>
      <c r="C25" s="230"/>
      <c r="D25" s="231"/>
      <c r="E25" s="92"/>
      <c r="F25" s="92"/>
      <c r="G25" s="1"/>
      <c r="H25" s="1"/>
      <c r="I25" s="1"/>
      <c r="J25" s="1"/>
      <c r="K25" s="1"/>
    </row>
    <row r="26" spans="1:11" ht="12.75" hidden="1" x14ac:dyDescent="0.2">
      <c r="A26" s="1"/>
      <c r="B26" s="1"/>
      <c r="C26" s="1"/>
      <c r="D26" s="1"/>
      <c r="E26" s="1"/>
      <c r="F26" s="1"/>
      <c r="G26" s="1"/>
      <c r="H26" s="1"/>
      <c r="I26" s="1"/>
      <c r="J26" s="1"/>
      <c r="K26" s="1"/>
    </row>
    <row r="27" spans="1:11" ht="12.75" hidden="1" x14ac:dyDescent="0.2">
      <c r="A27" s="1"/>
      <c r="B27" s="46"/>
      <c r="C27" s="46"/>
      <c r="D27" s="1"/>
      <c r="E27" s="1"/>
      <c r="F27" s="1"/>
      <c r="G27" s="1"/>
      <c r="H27" s="1"/>
      <c r="I27" s="1"/>
      <c r="J27" s="1"/>
      <c r="K27" s="1"/>
    </row>
    <row r="28" spans="1:11" hidden="1" x14ac:dyDescent="0.15"/>
    <row r="29" spans="1:11" hidden="1" x14ac:dyDescent="0.15"/>
    <row r="30" spans="1:11" hidden="1" x14ac:dyDescent="0.15"/>
    <row r="31" spans="1:11" hidden="1" x14ac:dyDescent="0.15"/>
    <row r="32" spans="1:11" ht="15" customHeight="1" x14ac:dyDescent="0.2">
      <c r="B32" s="26"/>
      <c r="C32" s="27">
        <v>1.03</v>
      </c>
    </row>
    <row r="33" ht="13.15" customHeight="1" x14ac:dyDescent="0.15"/>
  </sheetData>
  <mergeCells count="7">
    <mergeCell ref="B25:D25"/>
    <mergeCell ref="A1:J1"/>
    <mergeCell ref="A2:J2"/>
    <mergeCell ref="A3:J3"/>
    <mergeCell ref="A4:J4"/>
    <mergeCell ref="E8:J9"/>
    <mergeCell ref="D5:G6"/>
  </mergeCells>
  <pageMargins left="0.70000000000000007" right="0.70000000000000007" top="0.75" bottom="0.75" header="0.30000000000000004" footer="0.30000000000000004"/>
  <pageSetup scale="80" fitToWidth="0" fitToHeight="0" orientation="landscape" r:id="rId1"/>
  <headerFooter>
    <oddHeader xml:space="preserve">&amp;L </oddHeader>
    <oddFooter>&amp;C2014 UMC HEART-LUNG</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topLeftCell="A4" zoomScaleNormal="100" workbookViewId="0">
      <selection activeCell="D8" sqref="D8:F8"/>
    </sheetView>
  </sheetViews>
  <sheetFormatPr defaultColWidth="9" defaultRowHeight="12.75" x14ac:dyDescent="0.2"/>
  <cols>
    <col min="1" max="1" width="2.875" style="1" customWidth="1"/>
    <col min="2" max="2" width="37.125" style="1" customWidth="1"/>
    <col min="3" max="3" width="18.375" style="1" hidden="1" customWidth="1"/>
    <col min="4" max="4" width="29"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2" t="s">
        <v>230</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183</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c r="D8" s="255" t="s">
        <v>244</v>
      </c>
      <c r="E8" s="256"/>
      <c r="F8" s="256"/>
    </row>
    <row r="9" spans="1:10" s="4" customFormat="1" ht="30" customHeight="1" x14ac:dyDescent="0.25">
      <c r="B9" s="5"/>
      <c r="C9" s="5"/>
    </row>
    <row r="10" spans="1:10" s="4" customFormat="1" ht="18.75" customHeight="1" x14ac:dyDescent="0.25">
      <c r="B10" s="5"/>
      <c r="C10" s="5"/>
    </row>
    <row r="11" spans="1:10" ht="18.75" customHeight="1" x14ac:dyDescent="0.2">
      <c r="B11" s="7"/>
      <c r="C11" s="7"/>
      <c r="D11" s="8"/>
    </row>
    <row r="12" spans="1:10" ht="18.75" customHeight="1" x14ac:dyDescent="0.2">
      <c r="D12" s="9" t="s">
        <v>85</v>
      </c>
    </row>
    <row r="13" spans="1:10" ht="14.45" customHeight="1" x14ac:dyDescent="0.2">
      <c r="B13" s="10"/>
      <c r="C13" s="10"/>
      <c r="D13" s="9" t="s">
        <v>184</v>
      </c>
      <c r="E13" s="9"/>
      <c r="F13" s="9"/>
      <c r="G13" s="9"/>
      <c r="H13" s="9"/>
      <c r="I13" s="11"/>
      <c r="J13" s="11"/>
    </row>
    <row r="14" spans="1:10" ht="24.95" customHeight="1" x14ac:dyDescent="0.2">
      <c r="B14" s="12" t="s">
        <v>5</v>
      </c>
      <c r="C14" s="30" t="s">
        <v>6</v>
      </c>
      <c r="D14" s="12" t="s">
        <v>7</v>
      </c>
      <c r="E14" s="9"/>
      <c r="F14" s="9"/>
      <c r="G14" s="9"/>
      <c r="H14" s="9"/>
      <c r="I14" s="11"/>
      <c r="J14" s="11"/>
    </row>
    <row r="15" spans="1:10" ht="15" customHeight="1" x14ac:dyDescent="0.2">
      <c r="A15" s="14">
        <v>1</v>
      </c>
      <c r="B15" s="15" t="s">
        <v>8</v>
      </c>
      <c r="C15" s="17">
        <f>6558*C31</f>
        <v>6754.74</v>
      </c>
      <c r="D15" s="17">
        <f>ROUND(C15,0)</f>
        <v>6755</v>
      </c>
      <c r="E15" s="18"/>
    </row>
    <row r="16" spans="1:10" ht="53.25" customHeight="1" x14ac:dyDescent="0.2">
      <c r="A16" s="14">
        <v>2</v>
      </c>
      <c r="B16" s="19" t="s">
        <v>197</v>
      </c>
      <c r="C16" s="17">
        <f>67108*C31</f>
        <v>69121.240000000005</v>
      </c>
      <c r="D16" s="17">
        <f>ROUND(C16,0)</f>
        <v>69121</v>
      </c>
      <c r="E16" s="18"/>
    </row>
    <row r="17" spans="2:4" ht="35.1" customHeight="1" x14ac:dyDescent="0.2">
      <c r="B17" s="20" t="s">
        <v>198</v>
      </c>
      <c r="C17" s="20"/>
      <c r="D17" s="21">
        <f>SUM(D15:D16)</f>
        <v>75876</v>
      </c>
    </row>
    <row r="18" spans="2:4" ht="39.950000000000003" customHeight="1" x14ac:dyDescent="0.2"/>
    <row r="19" spans="2:4" ht="15" customHeight="1" x14ac:dyDescent="0.2">
      <c r="B19" s="15" t="s">
        <v>10</v>
      </c>
      <c r="C19" s="22"/>
      <c r="D19" s="23">
        <v>71</v>
      </c>
    </row>
    <row r="20" spans="2:4" ht="15" customHeight="1" x14ac:dyDescent="0.2">
      <c r="B20" s="24"/>
      <c r="C20" s="24"/>
    </row>
    <row r="21" spans="2:4" ht="15" customHeight="1" x14ac:dyDescent="0.2">
      <c r="B21" s="15" t="s">
        <v>11</v>
      </c>
      <c r="C21" s="22"/>
      <c r="D21" s="23">
        <v>360</v>
      </c>
    </row>
    <row r="22" spans="2:4" ht="20.100000000000001" hidden="1" customHeight="1" x14ac:dyDescent="0.2">
      <c r="B22" s="25"/>
      <c r="C22" s="25"/>
    </row>
    <row r="23" spans="2:4" ht="75" hidden="1" customHeight="1" x14ac:dyDescent="0.2">
      <c r="B23" s="24"/>
      <c r="C23" s="24"/>
    </row>
    <row r="24" spans="2:4" hidden="1" x14ac:dyDescent="0.2"/>
    <row r="25" spans="2:4" hidden="1" x14ac:dyDescent="0.2"/>
    <row r="26" spans="2:4" hidden="1" x14ac:dyDescent="0.2"/>
    <row r="27" spans="2:4" hidden="1" x14ac:dyDescent="0.2">
      <c r="B27" s="46"/>
      <c r="C27" s="46"/>
    </row>
    <row r="28" spans="2:4" hidden="1" x14ac:dyDescent="0.2"/>
    <row r="29" spans="2:4" hidden="1" x14ac:dyDescent="0.2"/>
    <row r="30" spans="2:4" hidden="1" x14ac:dyDescent="0.2"/>
    <row r="31" spans="2:4" ht="25.5" hidden="1" x14ac:dyDescent="0.2">
      <c r="B31" s="26" t="s">
        <v>12</v>
      </c>
      <c r="C31" s="27">
        <v>1.03</v>
      </c>
    </row>
    <row r="32" spans="2:4" hidden="1" x14ac:dyDescent="0.2"/>
    <row r="33" hidden="1" x14ac:dyDescent="0.2"/>
  </sheetData>
  <mergeCells count="5">
    <mergeCell ref="A2:J2"/>
    <mergeCell ref="A3:J3"/>
    <mergeCell ref="A4:J4"/>
    <mergeCell ref="A5:J5"/>
    <mergeCell ref="D8:F8"/>
  </mergeCells>
  <pageMargins left="0.25" right="0.25" top="0.25" bottom="0.25" header="0.25" footer="0.25"/>
  <pageSetup scale="80" fitToWidth="0" fitToHeight="0" orientation="landscape"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D8" sqref="D8:F8"/>
    </sheetView>
  </sheetViews>
  <sheetFormatPr defaultColWidth="9" defaultRowHeight="12.75" x14ac:dyDescent="0.2"/>
  <cols>
    <col min="1" max="1" width="2.875" style="1" customWidth="1"/>
    <col min="2" max="2" width="40.625" style="1" customWidth="1"/>
    <col min="3" max="3" width="18.5" style="1" hidden="1" customWidth="1"/>
    <col min="4" max="4" width="24.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1" spans="1:10" ht="19.899999999999999" customHeight="1" x14ac:dyDescent="0.2"/>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2" t="s">
        <v>78</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183</v>
      </c>
      <c r="B5" s="222"/>
      <c r="C5" s="222"/>
      <c r="D5" s="222"/>
      <c r="E5" s="222"/>
      <c r="F5" s="222"/>
      <c r="G5" s="222"/>
      <c r="H5" s="222"/>
      <c r="I5" s="222"/>
      <c r="J5" s="222"/>
    </row>
    <row r="6" spans="1:10" s="3" customFormat="1" ht="12.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21.6" customHeight="1" x14ac:dyDescent="0.25">
      <c r="B8" s="5"/>
      <c r="C8" s="5"/>
      <c r="D8" s="255" t="s">
        <v>244</v>
      </c>
      <c r="E8" s="256"/>
      <c r="F8" s="256"/>
    </row>
    <row r="9" spans="1:10" s="4" customFormat="1" ht="30" customHeight="1" x14ac:dyDescent="0.25">
      <c r="B9" s="5"/>
      <c r="C9" s="5"/>
      <c r="D9" s="4" t="s">
        <v>64</v>
      </c>
    </row>
    <row r="10" spans="1:10" s="4" customFormat="1" ht="18.75" customHeight="1" x14ac:dyDescent="0.25">
      <c r="B10" s="5"/>
      <c r="C10" s="5"/>
    </row>
    <row r="11" spans="1:10" ht="18.75" customHeight="1" x14ac:dyDescent="0.2">
      <c r="B11" s="7"/>
      <c r="C11" s="7"/>
      <c r="D11" s="8"/>
    </row>
    <row r="12" spans="1:10" ht="18.75" customHeight="1" x14ac:dyDescent="0.2">
      <c r="D12" s="9" t="s">
        <v>79</v>
      </c>
    </row>
    <row r="13" spans="1:10" ht="19.899999999999999" customHeight="1" x14ac:dyDescent="0.2">
      <c r="B13" s="10"/>
      <c r="C13" s="10"/>
      <c r="D13" s="9" t="s">
        <v>184</v>
      </c>
      <c r="E13" s="9"/>
      <c r="F13" s="9"/>
      <c r="G13" s="9"/>
      <c r="H13" s="9"/>
      <c r="I13" s="11"/>
      <c r="J13" s="11"/>
    </row>
    <row r="14" spans="1:10" ht="24.95" customHeight="1" x14ac:dyDescent="0.2">
      <c r="B14" s="12" t="s">
        <v>5</v>
      </c>
      <c r="C14" s="30" t="s">
        <v>6</v>
      </c>
      <c r="D14" s="12" t="s">
        <v>7</v>
      </c>
      <c r="E14" s="9"/>
      <c r="F14" s="9"/>
      <c r="G14" s="9"/>
      <c r="H14" s="9"/>
      <c r="I14" s="11"/>
      <c r="J14" s="11"/>
    </row>
    <row r="15" spans="1:10" ht="35.1" customHeight="1" x14ac:dyDescent="0.2">
      <c r="A15" s="14">
        <v>1</v>
      </c>
      <c r="B15" s="19" t="s">
        <v>92</v>
      </c>
      <c r="C15" s="17">
        <f>6558*C30</f>
        <v>6754.74</v>
      </c>
      <c r="D15" s="17">
        <f>ROUND(C15,0)</f>
        <v>6755</v>
      </c>
      <c r="E15" s="18"/>
    </row>
    <row r="16" spans="1:10" ht="46.9" customHeight="1" x14ac:dyDescent="0.2">
      <c r="A16" s="14">
        <v>2</v>
      </c>
      <c r="B16" s="19" t="s">
        <v>81</v>
      </c>
      <c r="C16" s="17">
        <f>67108*C30</f>
        <v>69121.240000000005</v>
      </c>
      <c r="D16" s="17">
        <f>ROUND(C16,0)</f>
        <v>69121</v>
      </c>
      <c r="E16" s="18"/>
    </row>
    <row r="17" spans="1:4" ht="53.25" customHeight="1" x14ac:dyDescent="0.2">
      <c r="A17" s="14">
        <v>3</v>
      </c>
      <c r="B17" s="35" t="s">
        <v>82</v>
      </c>
      <c r="C17" s="35"/>
      <c r="D17" s="71" t="s">
        <v>199</v>
      </c>
    </row>
    <row r="18" spans="1:4" ht="35.1" customHeight="1" x14ac:dyDescent="0.2">
      <c r="B18" s="20" t="s">
        <v>84</v>
      </c>
      <c r="C18" s="20"/>
      <c r="D18" s="21">
        <f>SUM(D15:D17)</f>
        <v>75876</v>
      </c>
    </row>
    <row r="19" spans="1:4" ht="39.950000000000003" customHeight="1" x14ac:dyDescent="0.2"/>
    <row r="20" spans="1:4" ht="15" customHeight="1" x14ac:dyDescent="0.2">
      <c r="B20" s="15" t="s">
        <v>10</v>
      </c>
      <c r="C20" s="22"/>
      <c r="D20" s="23">
        <v>71</v>
      </c>
    </row>
    <row r="21" spans="1:4" ht="15" customHeight="1" x14ac:dyDescent="0.2">
      <c r="B21" s="24"/>
      <c r="C21" s="24"/>
    </row>
    <row r="22" spans="1:4" ht="15" customHeight="1" x14ac:dyDescent="0.2">
      <c r="B22" s="15" t="s">
        <v>11</v>
      </c>
      <c r="C22" s="22"/>
      <c r="D22" s="23">
        <v>360</v>
      </c>
    </row>
    <row r="23" spans="1:4" ht="20.100000000000001" hidden="1" customHeight="1" x14ac:dyDescent="0.2">
      <c r="B23" s="25"/>
      <c r="C23" s="25"/>
    </row>
    <row r="24" spans="1:4" hidden="1" x14ac:dyDescent="0.2"/>
    <row r="25" spans="1:4" hidden="1" x14ac:dyDescent="0.2"/>
    <row r="26" spans="1:4" hidden="1" x14ac:dyDescent="0.2"/>
    <row r="27" spans="1:4" hidden="1" x14ac:dyDescent="0.2">
      <c r="B27" s="46"/>
      <c r="C27" s="46"/>
    </row>
    <row r="28" spans="1:4" hidden="1" x14ac:dyDescent="0.2"/>
    <row r="29" spans="1:4" hidden="1" x14ac:dyDescent="0.2"/>
    <row r="30" spans="1:4" ht="25.5" hidden="1" x14ac:dyDescent="0.2">
      <c r="B30" s="26" t="s">
        <v>12</v>
      </c>
      <c r="C30" s="27">
        <v>1.03</v>
      </c>
    </row>
    <row r="31" spans="1:4" hidden="1" x14ac:dyDescent="0.2"/>
  </sheetData>
  <mergeCells count="5">
    <mergeCell ref="A2:J2"/>
    <mergeCell ref="A3:J3"/>
    <mergeCell ref="A4:J4"/>
    <mergeCell ref="A5:J5"/>
    <mergeCell ref="D8:F8"/>
  </mergeCells>
  <pageMargins left="0.25" right="0.25" top="0.25" bottom="0.25" header="0.25" footer="0.25"/>
  <pageSetup scale="80" fitToWidth="0" fitToHeight="0" orientation="landscape"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7" sqref="A7"/>
    </sheetView>
  </sheetViews>
  <sheetFormatPr defaultRowHeight="12" x14ac:dyDescent="0.15"/>
  <cols>
    <col min="1" max="1" width="4.5" customWidth="1"/>
    <col min="2" max="2" width="32.75" customWidth="1"/>
    <col min="3" max="3" width="15.25" hidden="1" customWidth="1"/>
    <col min="4" max="4" width="20.625" customWidth="1"/>
    <col min="5" max="5" width="11.5" customWidth="1"/>
    <col min="6" max="6" width="10.75" customWidth="1"/>
    <col min="7" max="7" width="11.25" customWidth="1"/>
    <col min="8" max="8" width="8.875" customWidth="1"/>
    <col min="9" max="9" width="11.125" customWidth="1"/>
    <col min="10" max="10" width="5.625" customWidth="1"/>
    <col min="11" max="11" width="8.875" customWidth="1"/>
  </cols>
  <sheetData>
    <row r="1" spans="1:10" ht="12.75" x14ac:dyDescent="0.2">
      <c r="A1" s="1"/>
      <c r="B1" s="1"/>
      <c r="C1" s="1"/>
      <c r="D1" s="1"/>
      <c r="E1" s="1"/>
      <c r="F1" s="1"/>
      <c r="G1" s="1"/>
      <c r="H1" s="1"/>
      <c r="I1" s="1"/>
      <c r="J1" s="1"/>
    </row>
    <row r="2" spans="1:10" ht="19.899999999999999" customHeight="1" x14ac:dyDescent="0.25">
      <c r="A2" s="222" t="s">
        <v>182</v>
      </c>
      <c r="B2" s="222"/>
      <c r="C2" s="222"/>
      <c r="D2" s="222"/>
      <c r="E2" s="222"/>
      <c r="F2" s="222"/>
      <c r="G2" s="222"/>
      <c r="H2" s="222"/>
      <c r="I2" s="222"/>
      <c r="J2" s="222"/>
    </row>
    <row r="3" spans="1:10" ht="19.899999999999999" customHeight="1" x14ac:dyDescent="0.25">
      <c r="A3" s="222" t="s">
        <v>75</v>
      </c>
      <c r="B3" s="222"/>
      <c r="C3" s="222"/>
      <c r="D3" s="222"/>
      <c r="E3" s="222"/>
      <c r="F3" s="222"/>
      <c r="G3" s="222"/>
      <c r="H3" s="222"/>
      <c r="I3" s="222"/>
      <c r="J3" s="222"/>
    </row>
    <row r="4" spans="1:10" ht="19.899999999999999" customHeight="1" x14ac:dyDescent="0.25">
      <c r="A4" s="222" t="s">
        <v>1</v>
      </c>
      <c r="B4" s="222"/>
      <c r="C4" s="222"/>
      <c r="D4" s="222"/>
      <c r="E4" s="222"/>
      <c r="F4" s="222"/>
      <c r="G4" s="222"/>
      <c r="H4" s="222"/>
      <c r="I4" s="222"/>
      <c r="J4" s="222"/>
    </row>
    <row r="5" spans="1:10" ht="19.899999999999999" customHeight="1" x14ac:dyDescent="0.25">
      <c r="A5" s="222" t="s">
        <v>183</v>
      </c>
      <c r="B5" s="222"/>
      <c r="C5" s="222"/>
      <c r="D5" s="222"/>
      <c r="E5" s="222"/>
      <c r="F5" s="222"/>
      <c r="G5" s="222"/>
      <c r="H5" s="222"/>
      <c r="I5" s="222"/>
      <c r="J5" s="222"/>
    </row>
    <row r="6" spans="1:10" ht="15.75" x14ac:dyDescent="0.25">
      <c r="A6" s="2"/>
      <c r="B6" s="2"/>
      <c r="C6" s="2"/>
      <c r="D6" s="2"/>
      <c r="E6" s="2"/>
      <c r="F6" s="2"/>
      <c r="G6" s="2"/>
      <c r="H6" s="2"/>
      <c r="I6" s="2"/>
      <c r="J6" s="2"/>
    </row>
    <row r="7" spans="1:10" ht="15.75" x14ac:dyDescent="0.25">
      <c r="A7" s="3"/>
      <c r="B7" s="142"/>
      <c r="C7" s="142"/>
      <c r="D7" s="143"/>
      <c r="E7" s="143"/>
      <c r="F7" s="143"/>
      <c r="G7" s="143"/>
      <c r="H7" s="3"/>
      <c r="I7" s="3"/>
      <c r="J7" s="3"/>
    </row>
    <row r="8" spans="1:10" ht="15.75" x14ac:dyDescent="0.25">
      <c r="A8" s="3"/>
      <c r="B8" s="142"/>
      <c r="C8" s="142"/>
      <c r="D8" s="3"/>
      <c r="E8" s="3"/>
      <c r="F8" s="3"/>
      <c r="G8" s="3"/>
      <c r="H8" s="3"/>
      <c r="I8" s="3"/>
      <c r="J8" s="3"/>
    </row>
    <row r="9" spans="1:10" ht="15.75" x14ac:dyDescent="0.25">
      <c r="A9" s="3"/>
      <c r="B9" s="142"/>
      <c r="C9" s="142"/>
      <c r="D9" s="3"/>
      <c r="E9" s="3" t="s">
        <v>200</v>
      </c>
      <c r="F9" s="3"/>
      <c r="G9" s="3"/>
      <c r="H9" s="3"/>
      <c r="I9" s="3"/>
      <c r="J9" s="3"/>
    </row>
    <row r="10" spans="1:10" ht="15.75" x14ac:dyDescent="0.25">
      <c r="A10" s="3"/>
      <c r="B10" s="142"/>
      <c r="C10" s="142"/>
      <c r="D10" s="3"/>
      <c r="E10" s="3"/>
      <c r="F10" s="3"/>
      <c r="G10" s="3"/>
      <c r="H10" s="3"/>
      <c r="I10" s="3"/>
      <c r="J10" s="3"/>
    </row>
    <row r="11" spans="1:10" ht="15.75" x14ac:dyDescent="0.25">
      <c r="A11" s="3"/>
      <c r="B11" s="142"/>
      <c r="C11" s="142"/>
      <c r="D11" s="144"/>
      <c r="E11" s="3"/>
      <c r="F11" s="3"/>
      <c r="G11" s="3"/>
      <c r="H11" s="3"/>
      <c r="I11" s="3"/>
      <c r="J11" s="3"/>
    </row>
    <row r="12" spans="1:10" ht="15" x14ac:dyDescent="0.2">
      <c r="A12" s="3"/>
      <c r="B12" s="1"/>
      <c r="C12" s="1"/>
      <c r="D12" s="161" t="s">
        <v>201</v>
      </c>
      <c r="E12" s="1"/>
      <c r="F12" s="3"/>
      <c r="G12" s="3"/>
      <c r="H12" s="3"/>
      <c r="I12" s="3"/>
      <c r="J12" s="3"/>
    </row>
    <row r="13" spans="1:10" ht="15.75" x14ac:dyDescent="0.25">
      <c r="A13" s="3"/>
      <c r="B13" s="10"/>
      <c r="C13" s="10"/>
      <c r="D13" s="161" t="s">
        <v>184</v>
      </c>
      <c r="E13" s="161"/>
      <c r="F13" s="2"/>
      <c r="G13" s="2"/>
      <c r="H13" s="2"/>
      <c r="I13" s="44"/>
      <c r="J13" s="44"/>
    </row>
    <row r="14" spans="1:10" ht="25.9" customHeight="1" x14ac:dyDescent="0.2">
      <c r="A14" s="3"/>
      <c r="B14" s="12" t="s">
        <v>5</v>
      </c>
      <c r="C14" s="30" t="s">
        <v>6</v>
      </c>
      <c r="D14" s="12" t="s">
        <v>7</v>
      </c>
      <c r="E14" s="9"/>
      <c r="F14" s="9"/>
      <c r="G14" s="9"/>
      <c r="H14" s="9"/>
      <c r="I14" s="11"/>
      <c r="J14" s="11"/>
    </row>
    <row r="15" spans="1:10" ht="12.75" x14ac:dyDescent="0.2">
      <c r="A15" s="14">
        <v>1</v>
      </c>
      <c r="B15" s="15" t="s">
        <v>8</v>
      </c>
      <c r="C15" s="17">
        <f>6666*C28</f>
        <v>6865.9800000000005</v>
      </c>
      <c r="D15" s="17">
        <f>ROUND(C15,0)</f>
        <v>6866</v>
      </c>
      <c r="E15" s="18"/>
      <c r="F15" s="1"/>
      <c r="G15" s="1"/>
      <c r="H15" s="1"/>
      <c r="I15" s="1"/>
      <c r="J15" s="1"/>
    </row>
    <row r="16" spans="1:10" ht="12.75" x14ac:dyDescent="0.2">
      <c r="A16" s="14">
        <v>2</v>
      </c>
      <c r="B16" s="15" t="s">
        <v>21</v>
      </c>
      <c r="C16" s="17">
        <f>48370*C28</f>
        <v>49821.1</v>
      </c>
      <c r="D16" s="17">
        <f>ROUND(C16,0)</f>
        <v>49821</v>
      </c>
      <c r="E16" s="18"/>
      <c r="F16" s="1"/>
      <c r="G16" s="1"/>
      <c r="H16" s="1"/>
      <c r="I16" s="1"/>
      <c r="J16" s="1"/>
    </row>
    <row r="17" spans="1:10" ht="54.6" customHeight="1" x14ac:dyDescent="0.2">
      <c r="A17" s="14">
        <v>3</v>
      </c>
      <c r="B17" s="35" t="s">
        <v>22</v>
      </c>
      <c r="C17" s="17">
        <f>37806*C28</f>
        <v>38940.18</v>
      </c>
      <c r="D17" s="17">
        <f>ROUND(C17,0)</f>
        <v>38940</v>
      </c>
      <c r="E17" s="18"/>
      <c r="F17" s="1"/>
      <c r="G17" s="1"/>
      <c r="H17" s="1"/>
      <c r="I17" s="1"/>
      <c r="J17" s="1"/>
    </row>
    <row r="18" spans="1:10" ht="44.45" customHeight="1" x14ac:dyDescent="0.2">
      <c r="A18" s="14">
        <v>4</v>
      </c>
      <c r="B18" s="35" t="s">
        <v>30</v>
      </c>
      <c r="C18" s="17">
        <f>15551*C28</f>
        <v>16017.53</v>
      </c>
      <c r="D18" s="17">
        <f>ROUND(C18,0)</f>
        <v>16018</v>
      </c>
      <c r="E18" s="18"/>
      <c r="F18" s="1"/>
      <c r="G18" s="1"/>
      <c r="H18" s="1"/>
      <c r="I18" s="1"/>
      <c r="J18" s="1"/>
    </row>
    <row r="19" spans="1:10" ht="12.75" x14ac:dyDescent="0.2">
      <c r="A19" s="1"/>
      <c r="B19" s="20" t="s">
        <v>24</v>
      </c>
      <c r="C19" s="20"/>
      <c r="D19" s="21">
        <f>SUM(D15:D18)</f>
        <v>111645</v>
      </c>
      <c r="E19" s="1"/>
      <c r="F19" s="1"/>
      <c r="G19" s="1"/>
      <c r="H19" s="1"/>
      <c r="I19" s="1"/>
      <c r="J19" s="1"/>
    </row>
    <row r="20" spans="1:10" ht="12.75" x14ac:dyDescent="0.2">
      <c r="A20" s="1"/>
      <c r="B20" s="1"/>
      <c r="C20" s="1"/>
      <c r="D20" s="1"/>
      <c r="E20" s="1"/>
      <c r="F20" s="1"/>
      <c r="G20" s="1"/>
      <c r="H20" s="1"/>
      <c r="I20" s="1"/>
      <c r="J20" s="1"/>
    </row>
    <row r="21" spans="1:10" ht="12.75" x14ac:dyDescent="0.2">
      <c r="A21" s="1"/>
      <c r="B21" s="15" t="s">
        <v>10</v>
      </c>
      <c r="C21" s="22"/>
      <c r="D21" s="23">
        <v>71</v>
      </c>
      <c r="E21" s="1"/>
      <c r="F21" s="1"/>
      <c r="G21" s="1"/>
      <c r="H21" s="1"/>
      <c r="I21" s="1"/>
      <c r="J21" s="1"/>
    </row>
    <row r="22" spans="1:10" ht="12.75" x14ac:dyDescent="0.2">
      <c r="A22" s="1"/>
      <c r="B22" s="24"/>
      <c r="C22" s="24"/>
      <c r="D22" s="1"/>
      <c r="E22" s="1"/>
      <c r="F22" s="1"/>
      <c r="G22" s="1"/>
      <c r="H22" s="1"/>
      <c r="I22" s="1"/>
      <c r="J22" s="1"/>
    </row>
    <row r="23" spans="1:10" ht="12.75" x14ac:dyDescent="0.2">
      <c r="A23" s="1"/>
      <c r="B23" s="15" t="s">
        <v>11</v>
      </c>
      <c r="C23" s="22"/>
      <c r="D23" s="23">
        <v>360</v>
      </c>
      <c r="E23" s="1"/>
      <c r="F23" s="1"/>
      <c r="G23" s="1"/>
      <c r="H23" s="1"/>
      <c r="I23" s="1"/>
      <c r="J23" s="1"/>
    </row>
    <row r="24" spans="1:10" ht="12.75" hidden="1" x14ac:dyDescent="0.2">
      <c r="A24" s="1"/>
      <c r="B24" s="25"/>
      <c r="C24" s="25"/>
      <c r="D24" s="1"/>
      <c r="E24" s="1"/>
      <c r="F24" s="1"/>
      <c r="G24" s="1"/>
      <c r="H24" s="1"/>
      <c r="I24" s="1"/>
      <c r="J24" s="1"/>
    </row>
    <row r="25" spans="1:10" hidden="1" x14ac:dyDescent="0.15"/>
    <row r="26" spans="1:10" hidden="1" x14ac:dyDescent="0.15"/>
    <row r="27" spans="1:10" hidden="1" x14ac:dyDescent="0.15"/>
    <row r="28" spans="1:10" ht="25.5" hidden="1" x14ac:dyDescent="0.2">
      <c r="B28" s="26" t="s">
        <v>12</v>
      </c>
      <c r="C28" s="27">
        <v>1.03</v>
      </c>
    </row>
    <row r="29" spans="1:10" hidden="1" x14ac:dyDescent="0.15"/>
    <row r="30" spans="1:10" hidden="1" x14ac:dyDescent="0.15"/>
  </sheetData>
  <mergeCells count="4">
    <mergeCell ref="A2:J2"/>
    <mergeCell ref="A3:J3"/>
    <mergeCell ref="A4:J4"/>
    <mergeCell ref="A5:J5"/>
  </mergeCells>
  <pageMargins left="0.70000000000000007" right="0.70000000000000007" top="0.75" bottom="0.75" header="0.30000000000000004" footer="0.30000000000000004"/>
  <pageSetup scale="80" fitToWidth="0" fitToHeight="0" orientation="landscape" r:id="rId1"/>
  <headerFooter>
    <oddFooter>&amp;C&amp;8 2014 UMC PANCREAS AFTER KIDNEY</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topLeftCell="A7" zoomScaleNormal="100" workbookViewId="0">
      <selection activeCell="A4" sqref="A4:J4"/>
    </sheetView>
  </sheetViews>
  <sheetFormatPr defaultColWidth="9" defaultRowHeight="12.75" x14ac:dyDescent="0.2"/>
  <cols>
    <col min="1" max="1" width="2.875" style="1" customWidth="1"/>
    <col min="2" max="2" width="35.625" style="1" customWidth="1"/>
    <col min="3" max="3" width="16.25" style="1" hidden="1" customWidth="1"/>
    <col min="4" max="4" width="21.8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2" t="s">
        <v>202</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183</v>
      </c>
      <c r="B5" s="222"/>
      <c r="C5" s="222"/>
      <c r="D5" s="222"/>
      <c r="E5" s="222"/>
      <c r="F5" s="222"/>
      <c r="G5" s="222"/>
      <c r="H5" s="222"/>
      <c r="I5" s="222"/>
      <c r="J5" s="222"/>
    </row>
    <row r="6" spans="1:10" s="3" customFormat="1" ht="12.75"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s="4" customFormat="1" ht="18.75" customHeight="1" x14ac:dyDescent="0.25">
      <c r="B9" s="5"/>
      <c r="C9" s="5"/>
    </row>
    <row r="10" spans="1:10" ht="18.75" customHeight="1" x14ac:dyDescent="0.2">
      <c r="B10" s="7"/>
      <c r="C10" s="7"/>
      <c r="D10" s="8"/>
    </row>
    <row r="11" spans="1:10" ht="18.75" customHeight="1" x14ac:dyDescent="0.2">
      <c r="D11" s="9" t="s">
        <v>203</v>
      </c>
    </row>
    <row r="12" spans="1:10" ht="24.95" customHeight="1" x14ac:dyDescent="0.2">
      <c r="B12" s="10"/>
      <c r="C12" s="10"/>
      <c r="D12" s="9" t="s">
        <v>184</v>
      </c>
      <c r="E12" s="9"/>
      <c r="F12" s="9"/>
      <c r="G12" s="9"/>
      <c r="H12" s="9"/>
      <c r="I12" s="11"/>
      <c r="J12" s="11"/>
    </row>
    <row r="13" spans="1:10" ht="24.95" customHeight="1" x14ac:dyDescent="0.2">
      <c r="B13" s="12" t="s">
        <v>5</v>
      </c>
      <c r="C13" s="30" t="s">
        <v>6</v>
      </c>
      <c r="D13" s="12" t="s">
        <v>7</v>
      </c>
      <c r="E13" s="9"/>
      <c r="F13" s="9"/>
      <c r="G13" s="9"/>
      <c r="H13" s="9"/>
      <c r="I13" s="11"/>
      <c r="J13" s="11"/>
    </row>
    <row r="14" spans="1:10" ht="15" customHeight="1" x14ac:dyDescent="0.2">
      <c r="A14" s="14">
        <v>1</v>
      </c>
      <c r="B14" s="15" t="s">
        <v>8</v>
      </c>
      <c r="C14" s="17">
        <f>6669*C30</f>
        <v>6869.0700000000006</v>
      </c>
      <c r="D14" s="17">
        <f>ROUND(C14,0)</f>
        <v>6869</v>
      </c>
      <c r="E14" s="18"/>
    </row>
    <row r="15" spans="1:10" ht="15" customHeight="1" x14ac:dyDescent="0.2">
      <c r="A15" s="14">
        <v>2</v>
      </c>
      <c r="B15" s="15" t="s">
        <v>21</v>
      </c>
      <c r="C15" s="17">
        <f>59192*C30</f>
        <v>60967.76</v>
      </c>
      <c r="D15" s="17">
        <f>ROUND(C15,0)</f>
        <v>60968</v>
      </c>
      <c r="E15" s="18"/>
    </row>
    <row r="16" spans="1:10" ht="48" customHeight="1" x14ac:dyDescent="0.2">
      <c r="A16" s="14">
        <v>3</v>
      </c>
      <c r="B16" s="35" t="s">
        <v>22</v>
      </c>
      <c r="C16" s="17">
        <f>53289*C30</f>
        <v>54887.67</v>
      </c>
      <c r="D16" s="17">
        <f>ROUND(C16,0)</f>
        <v>54888</v>
      </c>
      <c r="E16" s="18"/>
    </row>
    <row r="17" spans="1:10" ht="51" customHeight="1" x14ac:dyDescent="0.2">
      <c r="A17" s="14">
        <v>4</v>
      </c>
      <c r="B17" s="35" t="s">
        <v>30</v>
      </c>
      <c r="C17" s="17">
        <f>15554*C30</f>
        <v>16020.62</v>
      </c>
      <c r="D17" s="17">
        <f>ROUND(C17,0)</f>
        <v>16021</v>
      </c>
      <c r="E17" s="18"/>
    </row>
    <row r="18" spans="1:10" ht="22.9" customHeight="1" x14ac:dyDescent="0.2">
      <c r="B18" s="20" t="s">
        <v>204</v>
      </c>
      <c r="C18" s="20"/>
      <c r="D18" s="21">
        <f>SUM(D14:D17)</f>
        <v>138746</v>
      </c>
    </row>
    <row r="19" spans="1:10" ht="39.950000000000003" customHeight="1" x14ac:dyDescent="0.2"/>
    <row r="20" spans="1:10" ht="15" customHeight="1" x14ac:dyDescent="0.2">
      <c r="B20" s="15" t="s">
        <v>10</v>
      </c>
      <c r="C20" s="22"/>
      <c r="D20" s="23">
        <v>71</v>
      </c>
    </row>
    <row r="21" spans="1:10" ht="15" customHeight="1" x14ac:dyDescent="0.2">
      <c r="B21" s="24"/>
      <c r="C21" s="24"/>
    </row>
    <row r="22" spans="1:10" ht="15" customHeight="1" x14ac:dyDescent="0.2">
      <c r="B22" s="15" t="s">
        <v>11</v>
      </c>
      <c r="C22" s="22"/>
      <c r="D22" s="23">
        <v>360</v>
      </c>
    </row>
    <row r="23" spans="1:10" ht="20.100000000000001" hidden="1" customHeight="1" x14ac:dyDescent="0.2">
      <c r="B23" s="25"/>
      <c r="C23" s="25"/>
    </row>
    <row r="24" spans="1:10" ht="75" hidden="1" customHeight="1" x14ac:dyDescent="0.2">
      <c r="B24" s="24"/>
      <c r="C24" s="24"/>
    </row>
    <row r="25" spans="1:10" hidden="1" x14ac:dyDescent="0.2">
      <c r="D25" s="46"/>
      <c r="E25" s="46"/>
    </row>
    <row r="26" spans="1:10" hidden="1" x14ac:dyDescent="0.2"/>
    <row r="27" spans="1:10" hidden="1" x14ac:dyDescent="0.2"/>
    <row r="28" spans="1:10" customFormat="1" hidden="1" x14ac:dyDescent="0.2">
      <c r="A28" s="1"/>
      <c r="B28" s="46"/>
      <c r="C28" s="46"/>
      <c r="D28" s="1"/>
      <c r="E28" s="1"/>
      <c r="F28" s="1"/>
      <c r="G28" s="1"/>
      <c r="H28" s="1"/>
      <c r="I28" s="1"/>
      <c r="J28" s="1"/>
    </row>
    <row r="29" spans="1:10" customFormat="1" hidden="1" x14ac:dyDescent="0.2">
      <c r="A29" s="1"/>
      <c r="B29" s="46"/>
      <c r="C29" s="46"/>
      <c r="D29" s="1"/>
      <c r="E29" s="1"/>
      <c r="F29" s="1"/>
      <c r="G29" s="1"/>
      <c r="H29" s="1"/>
      <c r="I29" s="1"/>
      <c r="J29" s="1"/>
    </row>
    <row r="30" spans="1:10" ht="25.5" hidden="1" x14ac:dyDescent="0.2">
      <c r="B30" s="26" t="s">
        <v>12</v>
      </c>
      <c r="C30" s="27">
        <v>1.03</v>
      </c>
    </row>
    <row r="31" spans="1:10" hidden="1" x14ac:dyDescent="0.2"/>
    <row r="32" spans="1:10" hidden="1" x14ac:dyDescent="0.2"/>
  </sheetData>
  <mergeCells count="4">
    <mergeCell ref="A2:J2"/>
    <mergeCell ref="A3:J3"/>
    <mergeCell ref="A4:J4"/>
    <mergeCell ref="A5:J5"/>
  </mergeCells>
  <pageMargins left="0.25" right="0.25" top="0.25" bottom="0.25" header="0.25" footer="0.25"/>
  <pageSetup scale="80" fitToWidth="0" fitToHeight="0" orientation="landscape"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5"/>
  <sheetViews>
    <sheetView topLeftCell="A7" zoomScaleNormal="100" workbookViewId="0">
      <selection activeCell="F13" sqref="F13"/>
    </sheetView>
  </sheetViews>
  <sheetFormatPr defaultColWidth="9" defaultRowHeight="12.75" x14ac:dyDescent="0.2"/>
  <cols>
    <col min="1" max="1" width="2.875" style="1" customWidth="1"/>
    <col min="2" max="2" width="35.625" style="1" customWidth="1"/>
    <col min="3" max="3" width="19.5" style="1" hidden="1" customWidth="1"/>
    <col min="4" max="4" width="2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7" t="s">
        <v>28</v>
      </c>
      <c r="B3" s="227"/>
      <c r="C3" s="227"/>
      <c r="D3" s="227"/>
      <c r="E3" s="227"/>
      <c r="F3" s="227"/>
      <c r="G3" s="227"/>
      <c r="H3" s="227"/>
      <c r="I3" s="227"/>
      <c r="J3" s="227"/>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183</v>
      </c>
      <c r="B5" s="222"/>
      <c r="C5" s="222"/>
      <c r="D5" s="222"/>
      <c r="E5" s="222"/>
      <c r="F5" s="222"/>
      <c r="G5" s="222"/>
      <c r="H5" s="222"/>
      <c r="I5" s="222"/>
      <c r="J5" s="222"/>
    </row>
    <row r="6" spans="1:10" s="3" customFormat="1" ht="19.899999999999999" customHeight="1" x14ac:dyDescent="0.25">
      <c r="A6" s="2"/>
      <c r="B6" s="2"/>
      <c r="C6" s="2"/>
      <c r="D6" s="2"/>
      <c r="E6" s="2"/>
      <c r="F6" s="2"/>
      <c r="G6" s="2"/>
      <c r="H6" s="2"/>
      <c r="I6" s="2"/>
      <c r="J6" s="2"/>
    </row>
    <row r="7" spans="1:10" s="4" customFormat="1" ht="19.899999999999999" customHeight="1" x14ac:dyDescent="0.25">
      <c r="B7" s="5"/>
      <c r="C7" s="5"/>
      <c r="D7" s="248" t="s">
        <v>231</v>
      </c>
      <c r="E7" s="257"/>
      <c r="F7" s="257"/>
      <c r="G7" s="257"/>
    </row>
    <row r="8" spans="1:10" s="4" customFormat="1" ht="30" customHeight="1" x14ac:dyDescent="0.25">
      <c r="B8" s="5"/>
      <c r="C8" s="5"/>
      <c r="D8" s="248" t="s">
        <v>245</v>
      </c>
      <c r="E8" s="259"/>
      <c r="F8" s="259"/>
      <c r="G8" s="259"/>
    </row>
    <row r="9" spans="1:10" s="4" customFormat="1" ht="18.75" customHeight="1" x14ac:dyDescent="0.25">
      <c r="B9" s="5"/>
      <c r="C9" s="5"/>
    </row>
    <row r="10" spans="1:10" ht="21.6" customHeight="1" x14ac:dyDescent="0.25">
      <c r="B10" s="7"/>
      <c r="C10" s="7"/>
      <c r="D10" s="258" t="s">
        <v>205</v>
      </c>
      <c r="E10" s="258"/>
      <c r="F10" s="258"/>
      <c r="G10" s="258"/>
      <c r="H10" s="258"/>
      <c r="I10" s="258"/>
    </row>
    <row r="11" spans="1:10" ht="17.45" customHeight="1" x14ac:dyDescent="0.2">
      <c r="D11" s="8"/>
      <c r="E11" s="223"/>
      <c r="F11" s="223"/>
      <c r="G11" s="223"/>
      <c r="H11" s="223"/>
      <c r="I11" s="223"/>
      <c r="J11" s="223"/>
    </row>
    <row r="12" spans="1:10" ht="24.95" customHeight="1" x14ac:dyDescent="0.2">
      <c r="B12" s="10"/>
      <c r="C12" s="10"/>
      <c r="D12" s="9" t="s">
        <v>184</v>
      </c>
    </row>
    <row r="13" spans="1:10" ht="24.95" customHeight="1" x14ac:dyDescent="0.2">
      <c r="B13" s="12" t="s">
        <v>5</v>
      </c>
      <c r="C13" s="30" t="s">
        <v>6</v>
      </c>
      <c r="D13" s="12" t="s">
        <v>7</v>
      </c>
      <c r="E13" s="9"/>
      <c r="F13" s="9"/>
      <c r="G13" s="9"/>
      <c r="H13" s="9"/>
      <c r="I13" s="11"/>
      <c r="J13" s="11"/>
    </row>
    <row r="14" spans="1:10" ht="15" customHeight="1" x14ac:dyDescent="0.2">
      <c r="A14" s="14">
        <v>1</v>
      </c>
      <c r="B14" s="15" t="s">
        <v>8</v>
      </c>
      <c r="C14" s="17">
        <f>8068*C29</f>
        <v>8310.0400000000009</v>
      </c>
      <c r="D14" s="17">
        <f>ROUND(C14,0)</f>
        <v>8310</v>
      </c>
      <c r="E14" s="18"/>
    </row>
    <row r="15" spans="1:10" ht="15" customHeight="1" x14ac:dyDescent="0.2">
      <c r="A15" s="14">
        <v>2</v>
      </c>
      <c r="B15" s="15" t="s">
        <v>21</v>
      </c>
      <c r="C15" s="17">
        <f>123633*C29</f>
        <v>127341.99</v>
      </c>
      <c r="D15" s="17">
        <f>ROUND(C15,0)</f>
        <v>127342</v>
      </c>
      <c r="E15" s="18"/>
    </row>
    <row r="16" spans="1:10" ht="54.75" customHeight="1" x14ac:dyDescent="0.2">
      <c r="A16" s="14">
        <v>3</v>
      </c>
      <c r="B16" s="35" t="s">
        <v>22</v>
      </c>
      <c r="C16" s="17">
        <f>95726*C29</f>
        <v>98597.78</v>
      </c>
      <c r="D16" s="17">
        <f>ROUND(C16,0)</f>
        <v>98598</v>
      </c>
      <c r="E16" s="18"/>
    </row>
    <row r="17" spans="1:10" ht="47.25" customHeight="1" x14ac:dyDescent="0.2">
      <c r="A17" s="14">
        <v>4</v>
      </c>
      <c r="B17" s="35" t="s">
        <v>30</v>
      </c>
      <c r="C17" s="17">
        <f>21516*C29</f>
        <v>22161.48</v>
      </c>
      <c r="D17" s="17">
        <f>ROUND(C17,0)</f>
        <v>22161</v>
      </c>
      <c r="E17" s="18"/>
    </row>
    <row r="18" spans="1:10" ht="21.6" customHeight="1" x14ac:dyDescent="0.2">
      <c r="B18" s="20" t="s">
        <v>31</v>
      </c>
      <c r="C18" s="20"/>
      <c r="D18" s="21">
        <f>SUM(D14:D17)</f>
        <v>256411</v>
      </c>
    </row>
    <row r="19" spans="1:10" ht="39.950000000000003" customHeight="1" x14ac:dyDescent="0.2"/>
    <row r="20" spans="1:10" ht="15" customHeight="1" x14ac:dyDescent="0.2">
      <c r="B20" s="15" t="s">
        <v>10</v>
      </c>
      <c r="C20" s="22"/>
      <c r="D20" s="23">
        <v>71</v>
      </c>
    </row>
    <row r="21" spans="1:10" ht="15" customHeight="1" x14ac:dyDescent="0.2">
      <c r="B21" s="24"/>
      <c r="C21" s="24"/>
    </row>
    <row r="22" spans="1:10" ht="15" customHeight="1" x14ac:dyDescent="0.2">
      <c r="B22" s="15" t="s">
        <v>11</v>
      </c>
      <c r="C22" s="22"/>
      <c r="D22" s="23">
        <v>360</v>
      </c>
    </row>
    <row r="23" spans="1:10" ht="20.100000000000001" hidden="1" customHeight="1" x14ac:dyDescent="0.2">
      <c r="B23" s="25"/>
      <c r="C23" s="25"/>
    </row>
    <row r="24" spans="1:10" hidden="1" x14ac:dyDescent="0.2"/>
    <row r="25" spans="1:10" hidden="1" x14ac:dyDescent="0.2"/>
    <row r="26" spans="1:10" hidden="1" x14ac:dyDescent="0.2"/>
    <row r="27" spans="1:10" customFormat="1" hidden="1" x14ac:dyDescent="0.2">
      <c r="A27" s="1"/>
      <c r="B27" s="46"/>
      <c r="C27" s="46"/>
      <c r="D27" s="1"/>
      <c r="E27" s="1"/>
      <c r="F27" s="1"/>
      <c r="G27" s="1"/>
      <c r="H27" s="1"/>
      <c r="I27" s="1"/>
      <c r="J27" s="1"/>
    </row>
    <row r="28" spans="1:10" customFormat="1" hidden="1" x14ac:dyDescent="0.2">
      <c r="A28" s="1"/>
      <c r="B28" s="46"/>
      <c r="C28" s="46"/>
      <c r="D28" s="1"/>
      <c r="E28" s="1"/>
      <c r="F28" s="1"/>
      <c r="G28" s="1"/>
      <c r="H28" s="1"/>
      <c r="I28" s="1"/>
      <c r="J28" s="1"/>
    </row>
    <row r="29" spans="1:10" ht="25.5" hidden="1" x14ac:dyDescent="0.2">
      <c r="B29" s="26" t="s">
        <v>12</v>
      </c>
      <c r="C29" s="27">
        <v>1.03</v>
      </c>
    </row>
    <row r="30" spans="1:10" hidden="1" x14ac:dyDescent="0.2"/>
    <row r="31" spans="1:10" hidden="1" x14ac:dyDescent="0.2"/>
    <row r="32" spans="1:10" hidden="1" x14ac:dyDescent="0.2"/>
    <row r="33" hidden="1" x14ac:dyDescent="0.2"/>
    <row r="34" hidden="1" x14ac:dyDescent="0.2"/>
    <row r="35" hidden="1" x14ac:dyDescent="0.2"/>
  </sheetData>
  <mergeCells count="8">
    <mergeCell ref="E11:J11"/>
    <mergeCell ref="D7:G7"/>
    <mergeCell ref="D10:I10"/>
    <mergeCell ref="A2:J2"/>
    <mergeCell ref="A3:J3"/>
    <mergeCell ref="A4:J4"/>
    <mergeCell ref="A5:J5"/>
    <mergeCell ref="D8:G8"/>
  </mergeCells>
  <pageMargins left="0.25" right="0.25" top="0.25" bottom="0.25" header="0.25" footer="0.25"/>
  <pageSetup scale="80" fitToWidth="0" fitToHeight="0" orientation="landscape"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4" zoomScaleNormal="100" workbookViewId="0">
      <selection activeCell="I11" sqref="I11"/>
    </sheetView>
  </sheetViews>
  <sheetFormatPr defaultRowHeight="12" x14ac:dyDescent="0.15"/>
  <cols>
    <col min="1" max="1" width="4.5" customWidth="1"/>
    <col min="2" max="2" width="25.75" customWidth="1"/>
    <col min="3" max="3" width="0.375" hidden="1" customWidth="1"/>
    <col min="4" max="4" width="21.625" customWidth="1"/>
    <col min="9" max="9" width="17.625" customWidth="1"/>
    <col min="10" max="10" width="16.5" customWidth="1"/>
  </cols>
  <sheetData>
    <row r="1" spans="1:11" s="214" customFormat="1" ht="18.600000000000001" customHeight="1" x14ac:dyDescent="0.25">
      <c r="D1" s="219"/>
      <c r="E1" s="213" t="s">
        <v>182</v>
      </c>
      <c r="F1" s="219"/>
      <c r="G1" s="219"/>
    </row>
    <row r="2" spans="1:11" ht="15.75" x14ac:dyDescent="0.25">
      <c r="A2" s="227" t="s">
        <v>243</v>
      </c>
      <c r="B2" s="234"/>
      <c r="C2" s="234"/>
      <c r="D2" s="234"/>
      <c r="E2" s="234"/>
      <c r="F2" s="234"/>
      <c r="G2" s="234"/>
      <c r="H2" s="234"/>
      <c r="I2" s="234"/>
      <c r="J2" s="215"/>
      <c r="K2" s="150"/>
    </row>
    <row r="3" spans="1:11" ht="15.75" x14ac:dyDescent="0.25">
      <c r="A3" s="227" t="s">
        <v>1</v>
      </c>
      <c r="B3" s="227"/>
      <c r="C3" s="227"/>
      <c r="D3" s="227"/>
      <c r="E3" s="227"/>
      <c r="F3" s="227"/>
      <c r="G3" s="227"/>
      <c r="H3" s="227"/>
      <c r="I3" s="227"/>
      <c r="J3" s="227"/>
      <c r="K3" s="150"/>
    </row>
    <row r="4" spans="1:11" ht="15.75" x14ac:dyDescent="0.25">
      <c r="A4" s="227" t="s">
        <v>183</v>
      </c>
      <c r="B4" s="227"/>
      <c r="C4" s="227"/>
      <c r="D4" s="227"/>
      <c r="E4" s="227"/>
      <c r="F4" s="227"/>
      <c r="G4" s="227"/>
      <c r="H4" s="227"/>
      <c r="I4" s="227"/>
      <c r="J4" s="227"/>
      <c r="K4" s="150"/>
    </row>
    <row r="5" spans="1:11" ht="15.75" x14ac:dyDescent="0.25">
      <c r="A5" s="215"/>
      <c r="B5" s="215" t="s">
        <v>64</v>
      </c>
      <c r="C5" s="215"/>
      <c r="D5" s="215"/>
      <c r="E5" s="215"/>
      <c r="F5" s="215"/>
      <c r="G5" s="215"/>
      <c r="H5" s="215"/>
      <c r="I5" s="215"/>
      <c r="J5" s="215"/>
      <c r="K5" s="214"/>
    </row>
    <row r="6" spans="1:11" ht="15" x14ac:dyDescent="0.25">
      <c r="A6" s="54"/>
      <c r="B6" s="55"/>
      <c r="C6" s="55"/>
      <c r="D6" s="56"/>
      <c r="E6" s="56"/>
      <c r="F6" s="56"/>
      <c r="G6" s="56"/>
      <c r="H6" s="54"/>
      <c r="I6" s="54"/>
      <c r="J6" s="54"/>
      <c r="K6" s="214"/>
    </row>
    <row r="7" spans="1:11" ht="15" x14ac:dyDescent="0.25">
      <c r="A7" s="54"/>
      <c r="B7" s="55"/>
      <c r="C7" s="55"/>
      <c r="D7" s="54"/>
      <c r="E7" s="54"/>
      <c r="F7" s="54"/>
      <c r="G7" s="54"/>
      <c r="H7" s="54"/>
      <c r="I7" s="54"/>
      <c r="J7" s="54"/>
      <c r="K7" s="214"/>
    </row>
    <row r="8" spans="1:11" ht="12.75" x14ac:dyDescent="0.2">
      <c r="A8" s="216"/>
      <c r="B8" s="57"/>
      <c r="C8" s="57"/>
      <c r="D8" s="216"/>
      <c r="E8" s="216"/>
      <c r="F8" s="216"/>
      <c r="G8" s="216"/>
      <c r="H8" s="216"/>
      <c r="I8" s="216"/>
      <c r="J8" s="216"/>
      <c r="K8" s="149"/>
    </row>
    <row r="9" spans="1:11" ht="12.75" x14ac:dyDescent="0.2">
      <c r="A9" s="216"/>
      <c r="B9" s="57"/>
      <c r="C9" s="57"/>
      <c r="D9" s="216"/>
      <c r="E9" s="216"/>
      <c r="F9" s="216"/>
      <c r="G9" s="216"/>
      <c r="H9" s="216"/>
      <c r="I9" s="216"/>
      <c r="J9" s="216"/>
      <c r="K9" s="1"/>
    </row>
    <row r="10" spans="1:11" ht="12.75" x14ac:dyDescent="0.2">
      <c r="A10" s="216"/>
      <c r="B10" s="57"/>
      <c r="C10" s="57"/>
      <c r="D10" s="58"/>
      <c r="E10" s="216"/>
      <c r="F10" s="216"/>
      <c r="G10" s="216"/>
      <c r="H10" s="216"/>
      <c r="I10" s="216"/>
      <c r="J10" s="216"/>
      <c r="K10" s="1"/>
    </row>
    <row r="11" spans="1:11" ht="12.75" x14ac:dyDescent="0.2">
      <c r="A11" s="216"/>
      <c r="B11" s="216"/>
      <c r="C11" s="216"/>
      <c r="D11" s="162" t="s">
        <v>65</v>
      </c>
      <c r="E11" s="216"/>
      <c r="F11" s="216"/>
      <c r="G11" s="216"/>
      <c r="H11" s="216"/>
      <c r="I11" s="216"/>
      <c r="J11" s="216"/>
      <c r="K11" s="1"/>
    </row>
    <row r="12" spans="1:11" ht="12.75" x14ac:dyDescent="0.2">
      <c r="A12" s="216"/>
      <c r="B12" s="59"/>
      <c r="C12" s="59"/>
      <c r="D12" s="162" t="s">
        <v>36</v>
      </c>
      <c r="E12" s="233"/>
      <c r="F12" s="233"/>
      <c r="G12" s="233"/>
      <c r="H12" s="233"/>
      <c r="I12" s="233"/>
      <c r="J12" s="233"/>
      <c r="K12" s="1"/>
    </row>
    <row r="13" spans="1:11" ht="28.9" customHeight="1" x14ac:dyDescent="0.2">
      <c r="A13" s="216"/>
      <c r="B13" s="60" t="s">
        <v>5</v>
      </c>
      <c r="C13" s="30"/>
      <c r="D13" s="60" t="s">
        <v>7</v>
      </c>
      <c r="E13" s="162"/>
      <c r="F13" s="162"/>
      <c r="G13" s="162"/>
      <c r="H13" s="162"/>
      <c r="I13" s="162"/>
      <c r="J13" s="162"/>
      <c r="K13" s="1"/>
    </row>
    <row r="14" spans="1:11" ht="12.75" x14ac:dyDescent="0.2">
      <c r="A14" s="61">
        <v>1</v>
      </c>
      <c r="B14" s="62" t="s">
        <v>8</v>
      </c>
      <c r="C14" s="63"/>
      <c r="D14" s="63">
        <v>9682</v>
      </c>
      <c r="E14" s="216"/>
      <c r="F14" s="216"/>
      <c r="G14" s="216"/>
      <c r="H14" s="216"/>
      <c r="I14" s="216"/>
      <c r="J14" s="216"/>
      <c r="K14" s="1"/>
    </row>
    <row r="15" spans="1:11" ht="12.75" x14ac:dyDescent="0.2">
      <c r="A15" s="61">
        <v>2</v>
      </c>
      <c r="B15" s="62" t="s">
        <v>21</v>
      </c>
      <c r="C15" s="63"/>
      <c r="D15" s="63">
        <v>154861</v>
      </c>
      <c r="E15" s="216"/>
      <c r="F15" s="216"/>
      <c r="G15" s="216"/>
      <c r="H15" s="216"/>
      <c r="I15" s="216"/>
      <c r="J15" s="216"/>
      <c r="K15" s="1"/>
    </row>
    <row r="16" spans="1:11" ht="41.45" customHeight="1" x14ac:dyDescent="0.2">
      <c r="A16" s="61">
        <v>3</v>
      </c>
      <c r="B16" s="64" t="s">
        <v>22</v>
      </c>
      <c r="C16" s="63"/>
      <c r="D16" s="63">
        <v>83842</v>
      </c>
      <c r="E16" s="216"/>
      <c r="F16" s="216"/>
      <c r="G16" s="216"/>
      <c r="H16" s="216"/>
      <c r="I16" s="216"/>
      <c r="J16" s="216"/>
      <c r="K16" s="1"/>
    </row>
    <row r="17" spans="1:11" ht="45.6" customHeight="1" x14ac:dyDescent="0.2">
      <c r="A17" s="61">
        <v>4</v>
      </c>
      <c r="B17" s="64" t="s">
        <v>30</v>
      </c>
      <c r="C17" s="63"/>
      <c r="D17" s="63">
        <v>30385</v>
      </c>
      <c r="E17" s="216"/>
      <c r="F17" s="216"/>
      <c r="G17" s="216"/>
      <c r="H17" s="216"/>
      <c r="I17" s="216"/>
      <c r="J17" s="216"/>
      <c r="K17" s="1"/>
    </row>
    <row r="18" spans="1:11" ht="12.75" x14ac:dyDescent="0.2">
      <c r="A18" s="216"/>
      <c r="B18" s="20" t="s">
        <v>66</v>
      </c>
      <c r="C18" s="162"/>
      <c r="D18" s="65">
        <f>SUM(D14:D17)</f>
        <v>278770</v>
      </c>
      <c r="E18" s="216"/>
      <c r="F18" s="216"/>
      <c r="G18" s="216"/>
      <c r="H18" s="216"/>
      <c r="I18" s="216"/>
      <c r="J18" s="216"/>
      <c r="K18" s="1"/>
    </row>
    <row r="19" spans="1:11" ht="12.75" x14ac:dyDescent="0.2">
      <c r="A19" s="216"/>
      <c r="B19" s="216"/>
      <c r="C19" s="216"/>
      <c r="D19" s="216"/>
      <c r="E19" s="216"/>
      <c r="F19" s="216"/>
      <c r="G19" s="216"/>
      <c r="H19" s="216"/>
      <c r="I19" s="216"/>
      <c r="J19" s="216"/>
      <c r="K19" s="149"/>
    </row>
    <row r="20" spans="1:11" ht="12.75" x14ac:dyDescent="0.2">
      <c r="A20" s="216"/>
      <c r="B20" s="25"/>
      <c r="C20" s="25"/>
      <c r="D20" s="216"/>
      <c r="E20" s="216"/>
      <c r="F20" s="216"/>
      <c r="G20" s="216"/>
      <c r="H20" s="216"/>
      <c r="I20" s="216"/>
      <c r="J20" s="216"/>
      <c r="K20" s="149"/>
    </row>
    <row r="21" spans="1:11" ht="12.75" x14ac:dyDescent="0.2">
      <c r="A21" s="216"/>
      <c r="B21" s="66" t="s">
        <v>10</v>
      </c>
      <c r="C21" s="25"/>
      <c r="D21" s="217">
        <v>71</v>
      </c>
      <c r="E21" s="216"/>
      <c r="F21" s="216"/>
      <c r="G21" s="216"/>
      <c r="H21" s="216"/>
      <c r="I21" s="216"/>
      <c r="J21" s="216"/>
      <c r="K21" s="149"/>
    </row>
    <row r="22" spans="1:11" ht="12.75" x14ac:dyDescent="0.2">
      <c r="A22" s="216"/>
      <c r="B22" s="216"/>
      <c r="C22" s="216"/>
      <c r="D22" s="216"/>
      <c r="E22" s="216"/>
      <c r="F22" s="216"/>
      <c r="G22" s="216"/>
      <c r="H22" s="216"/>
      <c r="I22" s="216"/>
      <c r="J22" s="216"/>
      <c r="K22" s="149"/>
    </row>
    <row r="23" spans="1:11" s="1" customFormat="1" ht="12.75" x14ac:dyDescent="0.2">
      <c r="B23" s="211" t="s">
        <v>11</v>
      </c>
      <c r="D23" s="218">
        <v>360</v>
      </c>
    </row>
    <row r="24" spans="1:11" x14ac:dyDescent="0.15">
      <c r="A24" s="214"/>
      <c r="B24" s="214"/>
      <c r="C24" s="214"/>
      <c r="D24" s="214"/>
      <c r="E24" s="214"/>
      <c r="F24" s="214"/>
      <c r="G24" s="214"/>
      <c r="H24" s="214"/>
      <c r="I24" s="214"/>
      <c r="J24" s="214"/>
      <c r="K24" s="214"/>
    </row>
    <row r="25" spans="1:11" ht="66" customHeight="1" x14ac:dyDescent="0.15">
      <c r="A25" s="214"/>
      <c r="B25" s="214"/>
      <c r="C25" s="214"/>
      <c r="D25" s="214"/>
      <c r="E25" s="214"/>
      <c r="F25" s="214"/>
      <c r="G25" s="214"/>
      <c r="H25" s="214"/>
      <c r="I25" s="214"/>
      <c r="J25" s="214"/>
      <c r="K25" s="214"/>
    </row>
    <row r="26" spans="1:11" ht="12.75" x14ac:dyDescent="0.2">
      <c r="A26" s="214"/>
      <c r="B26" s="24"/>
      <c r="C26" s="214"/>
      <c r="D26" s="214"/>
      <c r="E26" s="214"/>
      <c r="F26" s="214"/>
      <c r="G26" s="214"/>
      <c r="H26" s="214"/>
      <c r="I26" s="214"/>
      <c r="J26" s="214"/>
      <c r="K26" s="214"/>
    </row>
    <row r="27" spans="1:11" ht="12.75" x14ac:dyDescent="0.2">
      <c r="A27" s="214"/>
      <c r="B27" s="24"/>
      <c r="C27" s="27"/>
      <c r="D27" s="214"/>
      <c r="E27" s="214"/>
      <c r="F27" s="214"/>
      <c r="G27" s="214"/>
      <c r="H27" s="214"/>
      <c r="I27" s="214"/>
      <c r="J27" s="214"/>
      <c r="K27" s="214"/>
    </row>
    <row r="28" spans="1:11" ht="12.75" x14ac:dyDescent="0.2">
      <c r="A28" s="214"/>
      <c r="B28" s="24"/>
      <c r="C28" s="27"/>
      <c r="D28" s="214"/>
      <c r="E28" s="214"/>
      <c r="F28" s="214"/>
      <c r="G28" s="214"/>
      <c r="H28" s="214"/>
      <c r="I28" s="214"/>
      <c r="J28" s="214"/>
      <c r="K28" s="214"/>
    </row>
    <row r="29" spans="1:11" ht="12.75" x14ac:dyDescent="0.2">
      <c r="A29" s="214"/>
      <c r="B29" s="24"/>
      <c r="C29" s="27"/>
      <c r="D29" s="214"/>
      <c r="E29" s="214"/>
      <c r="F29" s="214"/>
      <c r="G29" s="214"/>
      <c r="H29" s="214"/>
      <c r="I29" s="214"/>
      <c r="J29" s="214"/>
      <c r="K29" s="214"/>
    </row>
    <row r="30" spans="1:11" x14ac:dyDescent="0.15">
      <c r="A30" s="214"/>
      <c r="B30" s="214"/>
      <c r="C30" s="214"/>
      <c r="D30" s="214"/>
      <c r="E30" s="214"/>
      <c r="F30" s="214"/>
      <c r="G30" s="214"/>
      <c r="H30" s="214"/>
      <c r="I30" s="214"/>
      <c r="J30" s="214"/>
      <c r="K30" s="214"/>
    </row>
    <row r="31" spans="1:11" x14ac:dyDescent="0.15">
      <c r="A31" s="214"/>
      <c r="B31" s="214"/>
      <c r="C31" s="214"/>
      <c r="D31" s="214"/>
      <c r="E31" s="214"/>
      <c r="F31" s="214"/>
      <c r="G31" s="214"/>
      <c r="H31" s="214"/>
      <c r="I31" s="214"/>
      <c r="J31" s="214"/>
      <c r="K31" s="214"/>
    </row>
    <row r="32" spans="1:11" x14ac:dyDescent="0.15">
      <c r="A32" s="214"/>
      <c r="B32" s="214"/>
      <c r="C32" s="214"/>
      <c r="D32" s="214"/>
      <c r="E32" s="214"/>
      <c r="F32" s="214"/>
      <c r="G32" s="214"/>
      <c r="H32" s="214"/>
      <c r="I32" s="214"/>
      <c r="J32" s="214"/>
      <c r="K32" s="214"/>
    </row>
    <row r="33" spans="1:11" x14ac:dyDescent="0.15">
      <c r="A33" s="214"/>
      <c r="B33" s="214"/>
      <c r="C33" s="214"/>
      <c r="D33" s="214"/>
      <c r="E33" s="214"/>
      <c r="F33" s="214"/>
      <c r="G33" s="214"/>
      <c r="H33" s="214"/>
      <c r="I33" s="214"/>
      <c r="J33" s="214"/>
      <c r="K33" s="214"/>
    </row>
    <row r="34" spans="1:11" x14ac:dyDescent="0.15">
      <c r="A34" s="214"/>
      <c r="B34" s="214"/>
      <c r="C34" s="214"/>
      <c r="D34" s="214"/>
      <c r="E34" s="214"/>
      <c r="F34" s="214"/>
      <c r="G34" s="214"/>
      <c r="H34" s="214"/>
      <c r="I34" s="214"/>
      <c r="J34" s="214"/>
      <c r="K34" s="214"/>
    </row>
  </sheetData>
  <mergeCells count="4">
    <mergeCell ref="A2:I2"/>
    <mergeCell ref="A3:J3"/>
    <mergeCell ref="A4:J4"/>
    <mergeCell ref="E12:J12"/>
  </mergeCells>
  <pageMargins left="0.7" right="0.7" top="0.75" bottom="0.75" header="0.3" footer="0.3"/>
  <pageSetup scale="94" orientation="landscape" r:id="rId1"/>
  <headerFooter>
    <oddFooter>&amp;CUMC CADAVERIC SIMULATINOUS LIVER/KIDNEY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opLeftCell="A13" zoomScaleNormal="100" workbookViewId="0">
      <selection activeCell="B6" sqref="B6"/>
    </sheetView>
  </sheetViews>
  <sheetFormatPr defaultColWidth="9" defaultRowHeight="12.75" x14ac:dyDescent="0.2"/>
  <cols>
    <col min="1" max="1" width="2.875" style="1" customWidth="1"/>
    <col min="2" max="2" width="37.125" style="1" customWidth="1"/>
    <col min="3" max="3" width="21" style="1" hidden="1" customWidth="1"/>
    <col min="4" max="4" width="20.6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0</v>
      </c>
      <c r="B2" s="222"/>
      <c r="C2" s="222"/>
      <c r="D2" s="222"/>
      <c r="E2" s="222"/>
      <c r="F2" s="222"/>
      <c r="G2" s="222"/>
      <c r="H2" s="222"/>
      <c r="I2" s="222"/>
      <c r="J2" s="222"/>
    </row>
    <row r="3" spans="1:10" s="3" customFormat="1" ht="19.899999999999999" customHeight="1" x14ac:dyDescent="0.25">
      <c r="A3" s="222" t="s">
        <v>28</v>
      </c>
      <c r="B3" s="222"/>
      <c r="C3" s="222"/>
      <c r="D3" s="222"/>
      <c r="E3" s="222"/>
      <c r="F3" s="222"/>
      <c r="G3" s="222"/>
      <c r="H3" s="222"/>
      <c r="I3" s="222"/>
      <c r="J3" s="222"/>
    </row>
    <row r="4" spans="1:10" s="3" customFormat="1" ht="19.899999999999999" customHeight="1" x14ac:dyDescent="0.25">
      <c r="A4" s="222" t="s">
        <v>1</v>
      </c>
      <c r="B4" s="222"/>
      <c r="C4" s="222"/>
      <c r="D4" s="222"/>
      <c r="E4" s="222"/>
      <c r="F4" s="222"/>
      <c r="G4" s="222"/>
      <c r="H4" s="222"/>
      <c r="I4" s="222"/>
      <c r="J4" s="222"/>
    </row>
    <row r="5" spans="1:10" s="3" customFormat="1" ht="19.899999999999999" customHeight="1" x14ac:dyDescent="0.25">
      <c r="A5" s="222" t="s">
        <v>2</v>
      </c>
      <c r="B5" s="222"/>
      <c r="C5" s="222"/>
      <c r="D5" s="222"/>
      <c r="E5" s="222"/>
      <c r="F5" s="222"/>
      <c r="G5" s="222"/>
      <c r="H5" s="222"/>
      <c r="I5" s="222"/>
      <c r="J5" s="222"/>
    </row>
    <row r="6" spans="1:10" s="3" customFormat="1" ht="30" customHeight="1" x14ac:dyDescent="0.25">
      <c r="A6" s="2"/>
      <c r="B6" s="2"/>
      <c r="C6" s="2"/>
      <c r="D6" s="2"/>
      <c r="E6" s="2"/>
      <c r="F6" s="2"/>
      <c r="G6" s="2"/>
      <c r="H6" s="2"/>
      <c r="I6" s="2"/>
      <c r="J6" s="2"/>
    </row>
    <row r="7" spans="1:10" s="4" customFormat="1" ht="30" customHeight="1" x14ac:dyDescent="0.25">
      <c r="B7" s="5"/>
      <c r="C7" s="5"/>
      <c r="D7" s="6"/>
      <c r="E7" s="6"/>
      <c r="F7" s="6"/>
      <c r="G7" s="6"/>
    </row>
    <row r="8" spans="1:10" s="4" customFormat="1" ht="30" customHeight="1" x14ac:dyDescent="0.25">
      <c r="B8" s="5"/>
      <c r="C8" s="5"/>
    </row>
    <row r="9" spans="1:10" ht="24.95" customHeight="1" x14ac:dyDescent="0.2">
      <c r="B9" s="7"/>
      <c r="C9" s="7"/>
      <c r="D9" s="8"/>
    </row>
    <row r="10" spans="1:10" ht="32.25" customHeight="1" x14ac:dyDescent="0.2">
      <c r="D10" s="9" t="s">
        <v>29</v>
      </c>
      <c r="E10" s="223"/>
      <c r="F10" s="223"/>
      <c r="G10" s="223"/>
      <c r="H10" s="223"/>
      <c r="I10" s="223"/>
      <c r="J10" s="223"/>
    </row>
    <row r="11" spans="1:10" ht="19.149999999999999" customHeight="1" x14ac:dyDescent="0.2">
      <c r="B11" s="10"/>
      <c r="C11" s="10"/>
      <c r="D11" s="9" t="s">
        <v>4</v>
      </c>
      <c r="E11" s="9"/>
      <c r="F11" s="9"/>
      <c r="G11" s="9"/>
      <c r="H11" s="9"/>
      <c r="I11" s="11"/>
      <c r="J11" s="11"/>
    </row>
    <row r="12" spans="1:10" ht="24.95" customHeight="1" x14ac:dyDescent="0.2">
      <c r="B12" s="12" t="s">
        <v>5</v>
      </c>
      <c r="C12" s="30" t="s">
        <v>6</v>
      </c>
      <c r="D12" s="12" t="s">
        <v>7</v>
      </c>
      <c r="E12" s="161"/>
      <c r="F12" s="161"/>
      <c r="G12" s="161"/>
      <c r="H12" s="161"/>
      <c r="I12" s="162"/>
      <c r="J12" s="162"/>
    </row>
    <row r="13" spans="1:10" ht="35.1" customHeight="1" x14ac:dyDescent="0.2">
      <c r="A13" s="14">
        <v>1</v>
      </c>
      <c r="B13" s="15" t="s">
        <v>8</v>
      </c>
      <c r="C13" s="17">
        <f>10875*C27</f>
        <v>11201.25</v>
      </c>
      <c r="D13" s="17">
        <f>ROUND(C13,0)</f>
        <v>11201</v>
      </c>
      <c r="E13" s="18"/>
    </row>
    <row r="14" spans="1:10" ht="35.1" customHeight="1" x14ac:dyDescent="0.2">
      <c r="A14" s="14">
        <v>2</v>
      </c>
      <c r="B14" s="15" t="s">
        <v>21</v>
      </c>
      <c r="C14" s="17">
        <f>113844*C27</f>
        <v>117259.32</v>
      </c>
      <c r="D14" s="17">
        <f>ROUND(C14,0)</f>
        <v>117259</v>
      </c>
      <c r="E14" s="18"/>
    </row>
    <row r="15" spans="1:10" ht="48" customHeight="1" x14ac:dyDescent="0.2">
      <c r="A15" s="14">
        <v>3</v>
      </c>
      <c r="B15" s="35" t="s">
        <v>22</v>
      </c>
      <c r="C15" s="17">
        <f>52619*C27</f>
        <v>54197.57</v>
      </c>
      <c r="D15" s="17">
        <f>ROUND(C15,0)</f>
        <v>54198</v>
      </c>
      <c r="E15" s="18"/>
    </row>
    <row r="16" spans="1:10" ht="33" customHeight="1" x14ac:dyDescent="0.2">
      <c r="A16" s="14">
        <v>4</v>
      </c>
      <c r="B16" s="35" t="s">
        <v>30</v>
      </c>
      <c r="C16" s="17">
        <f>26310*C27</f>
        <v>27099.3</v>
      </c>
      <c r="D16" s="17">
        <f>ROUND(C16,0)</f>
        <v>27099</v>
      </c>
      <c r="E16" s="18"/>
    </row>
    <row r="17" spans="2:4" ht="35.1" customHeight="1" x14ac:dyDescent="0.2">
      <c r="B17" s="20" t="s">
        <v>31</v>
      </c>
      <c r="C17" s="20"/>
      <c r="D17" s="21">
        <f>SUM(D13:D16)</f>
        <v>209757</v>
      </c>
    </row>
    <row r="18" spans="2:4" ht="39.950000000000003" customHeight="1" x14ac:dyDescent="0.2"/>
    <row r="19" spans="2:4" ht="20.100000000000001" customHeight="1" x14ac:dyDescent="0.2">
      <c r="B19" s="15" t="s">
        <v>10</v>
      </c>
      <c r="C19" s="22"/>
      <c r="D19" s="23">
        <v>154</v>
      </c>
    </row>
    <row r="20" spans="2:4" ht="20.100000000000001" customHeight="1" x14ac:dyDescent="0.2">
      <c r="B20" s="24"/>
      <c r="C20" s="24"/>
    </row>
    <row r="21" spans="2:4" ht="20.100000000000001" customHeight="1" x14ac:dyDescent="0.2">
      <c r="B21" s="15" t="s">
        <v>11</v>
      </c>
      <c r="C21" s="22"/>
      <c r="D21" s="23">
        <v>750</v>
      </c>
    </row>
    <row r="22" spans="2:4" ht="20.100000000000001" hidden="1" customHeight="1" x14ac:dyDescent="0.2">
      <c r="B22" s="25"/>
      <c r="C22" s="25"/>
    </row>
    <row r="23" spans="2:4" hidden="1" x14ac:dyDescent="0.2"/>
    <row r="24" spans="2:4" hidden="1" x14ac:dyDescent="0.2"/>
    <row r="25" spans="2:4" hidden="1" x14ac:dyDescent="0.2"/>
    <row r="26" spans="2:4" hidden="1" x14ac:dyDescent="0.2"/>
    <row r="27" spans="2:4" ht="25.5" hidden="1" x14ac:dyDescent="0.2">
      <c r="B27" s="26" t="s">
        <v>12</v>
      </c>
      <c r="C27" s="27">
        <v>1.03</v>
      </c>
    </row>
    <row r="28" spans="2:4" hidden="1" x14ac:dyDescent="0.2">
      <c r="B28" s="24"/>
    </row>
    <row r="29" spans="2:4" x14ac:dyDescent="0.2">
      <c r="B29" s="24"/>
      <c r="C29" s="27"/>
    </row>
    <row r="30" spans="2:4" x14ac:dyDescent="0.2">
      <c r="B30" s="24"/>
      <c r="C30" s="27"/>
    </row>
    <row r="31" spans="2:4" x14ac:dyDescent="0.2">
      <c r="B31" s="24"/>
      <c r="C31" s="27"/>
    </row>
  </sheetData>
  <mergeCells count="5">
    <mergeCell ref="A2:J2"/>
    <mergeCell ref="A3:J3"/>
    <mergeCell ref="A4:J4"/>
    <mergeCell ref="A5:J5"/>
    <mergeCell ref="E10:J10"/>
  </mergeCells>
  <pageMargins left="0.25" right="0.25" top="0.25" bottom="0.25" header="0.25" footer="0.25"/>
  <pageSetup scale="80" fitToWidth="0" fitToHeight="0" orientation="landscape"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topLeftCell="A7" zoomScaleNormal="100" workbookViewId="0">
      <selection activeCell="A9" sqref="A9"/>
    </sheetView>
  </sheetViews>
  <sheetFormatPr defaultColWidth="9" defaultRowHeight="12.75" x14ac:dyDescent="0.2"/>
  <cols>
    <col min="1" max="1" width="2.875" style="1" customWidth="1"/>
    <col min="2" max="2" width="40.75" style="1" customWidth="1"/>
    <col min="3" max="3" width="21.25" style="1" hidden="1" customWidth="1"/>
    <col min="4" max="4" width="2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7" t="s">
        <v>206</v>
      </c>
      <c r="B3" s="227"/>
      <c r="C3" s="227"/>
      <c r="D3" s="227"/>
      <c r="E3" s="227"/>
      <c r="F3" s="227"/>
      <c r="G3" s="227"/>
      <c r="H3" s="227"/>
      <c r="I3" s="227"/>
      <c r="J3" s="227"/>
    </row>
    <row r="4" spans="1:10" s="3" customFormat="1" ht="19.899999999999999" customHeight="1" x14ac:dyDescent="0.25">
      <c r="A4" s="44"/>
      <c r="B4" s="227" t="s">
        <v>207</v>
      </c>
      <c r="C4" s="227"/>
      <c r="D4" s="227"/>
      <c r="E4" s="227"/>
      <c r="F4" s="227"/>
      <c r="G4" s="227"/>
      <c r="H4" s="227"/>
      <c r="I4" s="227"/>
      <c r="J4" s="227"/>
    </row>
    <row r="5" spans="1:10" s="3" customFormat="1" ht="19.899999999999999" customHeight="1" x14ac:dyDescent="0.25">
      <c r="A5" s="222" t="s">
        <v>1</v>
      </c>
      <c r="B5" s="222"/>
      <c r="C5" s="222"/>
      <c r="D5" s="222"/>
      <c r="E5" s="222"/>
      <c r="F5" s="222"/>
      <c r="G5" s="222"/>
      <c r="H5" s="222"/>
      <c r="I5" s="222"/>
      <c r="J5" s="222"/>
    </row>
    <row r="6" spans="1:10" s="3" customFormat="1" ht="19.899999999999999" customHeight="1" x14ac:dyDescent="0.25">
      <c r="A6" s="222" t="s">
        <v>183</v>
      </c>
      <c r="B6" s="222"/>
      <c r="C6" s="222"/>
      <c r="D6" s="222"/>
      <c r="E6" s="222"/>
      <c r="F6" s="222"/>
      <c r="G6" s="222"/>
      <c r="H6" s="222"/>
      <c r="I6" s="222"/>
      <c r="J6" s="222"/>
    </row>
    <row r="7" spans="1:10" s="3" customFormat="1" ht="19.899999999999999" customHeight="1" x14ac:dyDescent="0.25">
      <c r="A7" s="2"/>
      <c r="B7" s="2"/>
      <c r="C7" s="2"/>
      <c r="D7" s="2"/>
      <c r="E7" s="2"/>
      <c r="F7" s="2"/>
      <c r="G7" s="2"/>
      <c r="H7" s="2"/>
      <c r="I7" s="2"/>
      <c r="J7" s="2"/>
    </row>
    <row r="8" spans="1:10" s="4" customFormat="1" ht="19.899999999999999" customHeight="1" x14ac:dyDescent="0.25">
      <c r="B8" s="5"/>
      <c r="C8" s="5"/>
      <c r="D8" s="248" t="s">
        <v>223</v>
      </c>
      <c r="E8" s="234"/>
      <c r="F8" s="234"/>
      <c r="G8" s="234"/>
    </row>
    <row r="9" spans="1:10" ht="18.75" customHeight="1" x14ac:dyDescent="0.2">
      <c r="B9" s="7"/>
      <c r="C9" s="7"/>
    </row>
    <row r="10" spans="1:10" ht="24.95" customHeight="1" x14ac:dyDescent="0.2">
      <c r="B10" s="10"/>
      <c r="C10" s="10"/>
      <c r="D10" s="9" t="s">
        <v>226</v>
      </c>
      <c r="E10" s="9"/>
      <c r="F10" s="9"/>
      <c r="G10" s="9"/>
      <c r="H10" s="9"/>
      <c r="I10" s="11"/>
      <c r="J10" s="11"/>
    </row>
    <row r="11" spans="1:10" ht="24.95" customHeight="1" x14ac:dyDescent="0.2">
      <c r="B11" s="12" t="s">
        <v>5</v>
      </c>
      <c r="C11" s="30" t="s">
        <v>6</v>
      </c>
      <c r="D11" s="12" t="s">
        <v>7</v>
      </c>
      <c r="E11" s="9"/>
      <c r="F11" s="9"/>
      <c r="G11" s="9"/>
      <c r="H11" s="9"/>
      <c r="I11" s="11"/>
      <c r="J11" s="11"/>
    </row>
    <row r="12" spans="1:10" ht="15" customHeight="1" x14ac:dyDescent="0.2">
      <c r="A12" s="14">
        <v>1</v>
      </c>
      <c r="B12" s="15" t="s">
        <v>8</v>
      </c>
      <c r="C12" s="17">
        <f>8500*C26</f>
        <v>8755</v>
      </c>
      <c r="D12" s="17">
        <f>ROUND(C12,0)</f>
        <v>8755</v>
      </c>
      <c r="E12" s="18"/>
    </row>
    <row r="13" spans="1:10" ht="15" customHeight="1" x14ac:dyDescent="0.2">
      <c r="A13" s="14">
        <v>2</v>
      </c>
      <c r="B13" s="15" t="s">
        <v>21</v>
      </c>
      <c r="C13" s="17">
        <f>176250*C26</f>
        <v>181537.5</v>
      </c>
      <c r="D13" s="17">
        <f>ROUND(C13,0)</f>
        <v>181538</v>
      </c>
      <c r="E13" s="18"/>
    </row>
    <row r="14" spans="1:10" ht="37.15" customHeight="1" x14ac:dyDescent="0.2">
      <c r="A14" s="14">
        <v>3</v>
      </c>
      <c r="B14" s="35" t="s">
        <v>22</v>
      </c>
      <c r="C14" s="17">
        <f>166250*C26</f>
        <v>171237.5</v>
      </c>
      <c r="D14" s="17">
        <f>ROUND(C14,0)</f>
        <v>171238</v>
      </c>
      <c r="E14" s="18"/>
    </row>
    <row r="15" spans="1:10" ht="24.6" customHeight="1" x14ac:dyDescent="0.2">
      <c r="A15" s="14">
        <v>4</v>
      </c>
      <c r="B15" s="35" t="s">
        <v>30</v>
      </c>
      <c r="C15" s="17">
        <f>27200*C26</f>
        <v>28016</v>
      </c>
      <c r="D15" s="17">
        <f>ROUND(C15,0)</f>
        <v>28016</v>
      </c>
      <c r="E15" s="18"/>
    </row>
    <row r="16" spans="1:10" ht="20.45" customHeight="1" x14ac:dyDescent="0.2">
      <c r="B16" s="20" t="s">
        <v>208</v>
      </c>
      <c r="C16" s="20"/>
      <c r="D16" s="21">
        <f>SUM(D12:D15)</f>
        <v>389547</v>
      </c>
    </row>
    <row r="17" spans="1:10" ht="22.15" customHeight="1" x14ac:dyDescent="0.2">
      <c r="C17" s="24"/>
    </row>
    <row r="18" spans="1:10" ht="15" customHeight="1" x14ac:dyDescent="0.2">
      <c r="B18" s="211" t="s">
        <v>10</v>
      </c>
      <c r="C18" s="22"/>
      <c r="D18" s="23">
        <v>71</v>
      </c>
    </row>
    <row r="19" spans="1:10" ht="15" customHeight="1" x14ac:dyDescent="0.2">
      <c r="B19" s="24"/>
      <c r="C19" s="24"/>
    </row>
    <row r="20" spans="1:10" ht="15" customHeight="1" x14ac:dyDescent="0.2">
      <c r="B20" s="15" t="s">
        <v>11</v>
      </c>
      <c r="C20" s="22"/>
      <c r="D20" s="23">
        <v>360</v>
      </c>
    </row>
    <row r="21" spans="1:10" ht="20.100000000000001" hidden="1" customHeight="1" x14ac:dyDescent="0.2">
      <c r="B21" s="25"/>
      <c r="C21" s="25"/>
    </row>
    <row r="22" spans="1:10" hidden="1" x14ac:dyDescent="0.2"/>
    <row r="23" spans="1:10" hidden="1" x14ac:dyDescent="0.2"/>
    <row r="24" spans="1:10" hidden="1" x14ac:dyDescent="0.2"/>
    <row r="25" spans="1:10" hidden="1" x14ac:dyDescent="0.2"/>
    <row r="26" spans="1:10" customFormat="1" ht="25.5" hidden="1" x14ac:dyDescent="0.2">
      <c r="A26" s="1"/>
      <c r="B26" s="26" t="s">
        <v>12</v>
      </c>
      <c r="C26" s="27">
        <v>1.03</v>
      </c>
      <c r="D26" s="1"/>
      <c r="E26" s="1"/>
      <c r="F26" s="1"/>
      <c r="G26" s="1"/>
      <c r="H26" s="1"/>
      <c r="I26" s="1"/>
      <c r="J26" s="1"/>
    </row>
    <row r="27" spans="1:10" hidden="1" x14ac:dyDescent="0.2"/>
    <row r="28" spans="1:10" hidden="1" x14ac:dyDescent="0.2"/>
    <row r="31" spans="1:10" x14ac:dyDescent="0.2">
      <c r="B31" s="260" t="s">
        <v>209</v>
      </c>
      <c r="C31" s="261"/>
      <c r="D31" s="261"/>
      <c r="E31" s="262"/>
    </row>
    <row r="32" spans="1:10" x14ac:dyDescent="0.2">
      <c r="B32" s="263"/>
      <c r="C32" s="264"/>
      <c r="D32" s="264"/>
      <c r="E32" s="265"/>
    </row>
    <row r="33" spans="2:5" x14ac:dyDescent="0.2">
      <c r="B33" s="263"/>
      <c r="C33" s="264"/>
      <c r="D33" s="264"/>
      <c r="E33" s="265"/>
    </row>
    <row r="34" spans="2:5" x14ac:dyDescent="0.2">
      <c r="B34" s="266"/>
      <c r="C34" s="267"/>
      <c r="D34" s="267"/>
      <c r="E34" s="268"/>
    </row>
  </sheetData>
  <mergeCells count="7">
    <mergeCell ref="B31:E34"/>
    <mergeCell ref="D8:G8"/>
    <mergeCell ref="A2:J2"/>
    <mergeCell ref="A3:J3"/>
    <mergeCell ref="B4:J4"/>
    <mergeCell ref="A5:J5"/>
    <mergeCell ref="A6:J6"/>
  </mergeCells>
  <pageMargins left="0.25" right="0.25" top="0.25" bottom="0.25" header="0.25" footer="0.25"/>
  <pageSetup scale="77" fitToWidth="0" fitToHeight="0" orientation="landscape"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topLeftCell="A4" zoomScaleNormal="100" workbookViewId="0">
      <selection activeCell="A10" sqref="A10"/>
    </sheetView>
  </sheetViews>
  <sheetFormatPr defaultColWidth="9" defaultRowHeight="12.75" x14ac:dyDescent="0.2"/>
  <cols>
    <col min="1" max="1" width="2.875" style="1" customWidth="1"/>
    <col min="2" max="2" width="35.625" style="1" customWidth="1"/>
    <col min="3" max="3" width="19" style="1" hidden="1" customWidth="1"/>
    <col min="4" max="4" width="22.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7" t="s">
        <v>210</v>
      </c>
      <c r="B3" s="227"/>
      <c r="C3" s="227"/>
      <c r="D3" s="227"/>
      <c r="E3" s="227"/>
      <c r="F3" s="227"/>
      <c r="G3" s="227"/>
      <c r="H3" s="227"/>
      <c r="I3" s="227"/>
      <c r="J3" s="227"/>
    </row>
    <row r="4" spans="1:10" s="3" customFormat="1" ht="19.899999999999999" customHeight="1" x14ac:dyDescent="0.25">
      <c r="A4" s="44"/>
      <c r="B4" s="227" t="s">
        <v>211</v>
      </c>
      <c r="C4" s="227"/>
      <c r="D4" s="227"/>
      <c r="E4" s="227"/>
      <c r="F4" s="227"/>
      <c r="G4" s="227"/>
      <c r="H4" s="227"/>
      <c r="I4" s="227"/>
      <c r="J4" s="227"/>
    </row>
    <row r="5" spans="1:10" s="3" customFormat="1" ht="19.899999999999999" customHeight="1" x14ac:dyDescent="0.25">
      <c r="A5" s="222" t="s">
        <v>1</v>
      </c>
      <c r="B5" s="222"/>
      <c r="C5" s="222"/>
      <c r="D5" s="222"/>
      <c r="E5" s="222"/>
      <c r="F5" s="222"/>
      <c r="G5" s="222"/>
      <c r="H5" s="222"/>
      <c r="I5" s="222"/>
      <c r="J5" s="222"/>
    </row>
    <row r="6" spans="1:10" s="3" customFormat="1" ht="19.899999999999999" customHeight="1" x14ac:dyDescent="0.25">
      <c r="A6" s="222" t="s">
        <v>183</v>
      </c>
      <c r="B6" s="222"/>
      <c r="C6" s="222"/>
      <c r="D6" s="222"/>
      <c r="E6" s="222"/>
      <c r="F6" s="222"/>
      <c r="G6" s="222"/>
      <c r="H6" s="222"/>
      <c r="I6" s="222"/>
      <c r="J6" s="222"/>
    </row>
    <row r="7" spans="1:10" s="3" customFormat="1" ht="19.899999999999999" customHeight="1" x14ac:dyDescent="0.25">
      <c r="A7" s="2"/>
      <c r="B7" s="2"/>
      <c r="C7" s="2"/>
      <c r="D7" s="2"/>
      <c r="E7" s="2"/>
      <c r="F7" s="2"/>
      <c r="G7" s="2"/>
      <c r="H7" s="2"/>
      <c r="I7" s="2"/>
      <c r="J7" s="2"/>
    </row>
    <row r="8" spans="1:10" s="4" customFormat="1" ht="19.899999999999999" customHeight="1" x14ac:dyDescent="0.25">
      <c r="B8" s="5"/>
      <c r="C8" s="5"/>
      <c r="D8" s="248" t="s">
        <v>223</v>
      </c>
      <c r="E8" s="234"/>
      <c r="F8" s="234"/>
      <c r="G8" s="234"/>
    </row>
    <row r="9" spans="1:10" ht="18.75" customHeight="1" x14ac:dyDescent="0.2">
      <c r="B9" s="7"/>
      <c r="C9" s="7"/>
    </row>
    <row r="10" spans="1:10" ht="37.5" customHeight="1" x14ac:dyDescent="0.2">
      <c r="D10" s="8"/>
    </row>
    <row r="11" spans="1:10" ht="24.95" customHeight="1" x14ac:dyDescent="0.2">
      <c r="B11" s="10"/>
      <c r="C11" s="10"/>
      <c r="D11" s="9" t="s">
        <v>225</v>
      </c>
      <c r="E11" s="9"/>
      <c r="F11" s="9"/>
      <c r="G11" s="9"/>
      <c r="H11" s="9"/>
      <c r="I11" s="11"/>
      <c r="J11" s="11"/>
    </row>
    <row r="12" spans="1:10" ht="24.95" customHeight="1" x14ac:dyDescent="0.2">
      <c r="B12" s="12" t="s">
        <v>5</v>
      </c>
      <c r="C12" s="30" t="s">
        <v>6</v>
      </c>
      <c r="D12" s="12" t="s">
        <v>7</v>
      </c>
      <c r="E12" s="9"/>
      <c r="F12" s="9"/>
      <c r="G12" s="9"/>
      <c r="H12" s="9"/>
      <c r="I12" s="11"/>
      <c r="J12" s="11"/>
    </row>
    <row r="13" spans="1:10" ht="15" customHeight="1" x14ac:dyDescent="0.2">
      <c r="A13" s="14">
        <v>1</v>
      </c>
      <c r="B13" s="15" t="s">
        <v>8</v>
      </c>
      <c r="C13" s="17">
        <f>18300*C27</f>
        <v>18849</v>
      </c>
      <c r="D13" s="17">
        <f>ROUND(C13,0)</f>
        <v>18849</v>
      </c>
      <c r="E13" s="18"/>
    </row>
    <row r="14" spans="1:10" ht="15" customHeight="1" x14ac:dyDescent="0.2">
      <c r="A14" s="14">
        <v>2</v>
      </c>
      <c r="B14" s="15" t="s">
        <v>21</v>
      </c>
      <c r="C14" s="17">
        <f>176300*C27</f>
        <v>181589</v>
      </c>
      <c r="D14" s="17">
        <f>ROUND(C14,0)</f>
        <v>181589</v>
      </c>
      <c r="E14" s="18"/>
    </row>
    <row r="15" spans="1:10" ht="43.15" customHeight="1" x14ac:dyDescent="0.2">
      <c r="A15" s="14">
        <v>3</v>
      </c>
      <c r="B15" s="35" t="s">
        <v>22</v>
      </c>
      <c r="C15" s="17">
        <f>166300*C27</f>
        <v>171289</v>
      </c>
      <c r="D15" s="17">
        <f>ROUND(C15,0)</f>
        <v>171289</v>
      </c>
      <c r="E15" s="18"/>
    </row>
    <row r="16" spans="1:10" ht="31.9" customHeight="1" x14ac:dyDescent="0.2">
      <c r="A16" s="14">
        <v>4</v>
      </c>
      <c r="B16" s="35" t="s">
        <v>30</v>
      </c>
      <c r="C16" s="17">
        <f>48300*C27</f>
        <v>49749</v>
      </c>
      <c r="D16" s="17">
        <f>ROUND(C16,0)</f>
        <v>49749</v>
      </c>
      <c r="E16" s="18"/>
    </row>
    <row r="17" spans="1:10" ht="35.1" customHeight="1" x14ac:dyDescent="0.2">
      <c r="B17" s="20" t="s">
        <v>208</v>
      </c>
      <c r="C17" s="20"/>
      <c r="D17" s="21">
        <f>SUM(D13:D16)</f>
        <v>421476</v>
      </c>
    </row>
    <row r="18" spans="1:10" ht="15" customHeight="1" x14ac:dyDescent="0.2">
      <c r="C18" s="24"/>
    </row>
    <row r="19" spans="1:10" ht="15" customHeight="1" x14ac:dyDescent="0.2">
      <c r="B19" s="15" t="s">
        <v>10</v>
      </c>
      <c r="C19" s="22"/>
      <c r="D19" s="23">
        <v>71</v>
      </c>
    </row>
    <row r="20" spans="1:10" ht="15" customHeight="1" x14ac:dyDescent="0.2">
      <c r="B20" s="24"/>
      <c r="C20" s="24"/>
    </row>
    <row r="21" spans="1:10" ht="15" customHeight="1" x14ac:dyDescent="0.2">
      <c r="B21" s="15" t="s">
        <v>11</v>
      </c>
      <c r="C21" s="22"/>
      <c r="D21" s="23">
        <v>360</v>
      </c>
    </row>
    <row r="22" spans="1:10" ht="20.100000000000001" hidden="1" customHeight="1" x14ac:dyDescent="0.2">
      <c r="B22" s="25"/>
      <c r="C22" s="25"/>
    </row>
    <row r="23" spans="1:10" hidden="1" x14ac:dyDescent="0.2"/>
    <row r="24" spans="1:10" hidden="1" x14ac:dyDescent="0.2"/>
    <row r="25" spans="1:10" hidden="1" x14ac:dyDescent="0.2"/>
    <row r="26" spans="1:10" hidden="1" x14ac:dyDescent="0.2"/>
    <row r="27" spans="1:10" customFormat="1" ht="25.5" hidden="1" x14ac:dyDescent="0.2">
      <c r="A27" s="1"/>
      <c r="B27" s="26" t="s">
        <v>12</v>
      </c>
      <c r="C27" s="27">
        <v>1.03</v>
      </c>
      <c r="D27" s="1"/>
      <c r="E27" s="1"/>
      <c r="F27" s="1"/>
      <c r="G27" s="1"/>
      <c r="H27" s="1"/>
      <c r="I27" s="1"/>
      <c r="J27" s="1"/>
    </row>
    <row r="28" spans="1:10" hidden="1" x14ac:dyDescent="0.2"/>
    <row r="29" spans="1:10" hidden="1" x14ac:dyDescent="0.2"/>
    <row r="31" spans="1:10" x14ac:dyDescent="0.2">
      <c r="B31" s="260" t="s">
        <v>212</v>
      </c>
      <c r="C31" s="269"/>
      <c r="D31" s="270"/>
    </row>
    <row r="32" spans="1:10" x14ac:dyDescent="0.2">
      <c r="B32" s="271"/>
      <c r="C32" s="272"/>
      <c r="D32" s="273"/>
    </row>
    <row r="33" spans="2:4" x14ac:dyDescent="0.2">
      <c r="B33" s="271"/>
      <c r="C33" s="272"/>
      <c r="D33" s="273"/>
    </row>
    <row r="34" spans="2:4" x14ac:dyDescent="0.2">
      <c r="B34" s="271"/>
      <c r="C34" s="272"/>
      <c r="D34" s="273"/>
    </row>
    <row r="35" spans="2:4" x14ac:dyDescent="0.2">
      <c r="B35" s="271"/>
      <c r="C35" s="272"/>
      <c r="D35" s="273"/>
    </row>
    <row r="36" spans="2:4" ht="1.9" customHeight="1" x14ac:dyDescent="0.2">
      <c r="B36" s="274"/>
      <c r="C36" s="275"/>
      <c r="D36" s="276"/>
    </row>
    <row r="37" spans="2:4" x14ac:dyDescent="0.2">
      <c r="B37" s="24"/>
      <c r="C37" s="24"/>
      <c r="D37" s="24"/>
    </row>
  </sheetData>
  <mergeCells count="7">
    <mergeCell ref="B31:D36"/>
    <mergeCell ref="D8:G8"/>
    <mergeCell ref="A2:J2"/>
    <mergeCell ref="A3:J3"/>
    <mergeCell ref="B4:J4"/>
    <mergeCell ref="A5:J5"/>
    <mergeCell ref="A6:J6"/>
  </mergeCells>
  <pageMargins left="0.25" right="0.25" top="0.25" bottom="0.25" header="0.25" footer="0.25"/>
  <pageSetup scale="79" fitToWidth="0" fitToHeight="0" orientation="landscape"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topLeftCell="A11" zoomScaleNormal="100" workbookViewId="0">
      <selection activeCell="A11" sqref="A11"/>
    </sheetView>
  </sheetViews>
  <sheetFormatPr defaultColWidth="9" defaultRowHeight="12.75" x14ac:dyDescent="0.2"/>
  <cols>
    <col min="1" max="1" width="2.875" style="1" customWidth="1"/>
    <col min="2" max="2" width="35.625" style="1" customWidth="1"/>
    <col min="3" max="3" width="20.25" style="1" hidden="1" customWidth="1"/>
    <col min="4" max="4" width="23.875" style="1" customWidth="1"/>
    <col min="5" max="6" width="18.625" style="1" customWidth="1"/>
    <col min="7" max="8" width="12.625" style="1" customWidth="1"/>
    <col min="9" max="9" width="17.625" style="1" customWidth="1"/>
    <col min="10" max="10" width="7.625" style="1" customWidth="1"/>
    <col min="11" max="11" width="9" style="1" customWidth="1"/>
    <col min="12" max="16384" width="9" style="1"/>
  </cols>
  <sheetData>
    <row r="2" spans="1:10" s="3" customFormat="1" ht="19.899999999999999" customHeight="1" x14ac:dyDescent="0.25">
      <c r="A2" s="222" t="s">
        <v>182</v>
      </c>
      <c r="B2" s="222"/>
      <c r="C2" s="222"/>
      <c r="D2" s="222"/>
      <c r="E2" s="222"/>
      <c r="F2" s="222"/>
      <c r="G2" s="222"/>
      <c r="H2" s="222"/>
      <c r="I2" s="222"/>
      <c r="J2" s="222"/>
    </row>
    <row r="3" spans="1:10" s="3" customFormat="1" ht="19.899999999999999" customHeight="1" x14ac:dyDescent="0.25">
      <c r="A3" s="227" t="s">
        <v>213</v>
      </c>
      <c r="B3" s="227"/>
      <c r="C3" s="227"/>
      <c r="D3" s="227"/>
      <c r="E3" s="227"/>
      <c r="F3" s="227"/>
      <c r="G3" s="227"/>
      <c r="H3" s="227"/>
      <c r="I3" s="227"/>
      <c r="J3" s="227"/>
    </row>
    <row r="4" spans="1:10" s="3" customFormat="1" ht="19.899999999999999" customHeight="1" x14ac:dyDescent="0.25">
      <c r="A4" s="44"/>
      <c r="B4" s="227" t="s">
        <v>214</v>
      </c>
      <c r="C4" s="227"/>
      <c r="D4" s="227"/>
      <c r="E4" s="227"/>
      <c r="F4" s="227"/>
      <c r="G4" s="227"/>
      <c r="H4" s="227"/>
      <c r="I4" s="227"/>
      <c r="J4" s="227"/>
    </row>
    <row r="5" spans="1:10" s="3" customFormat="1" ht="19.899999999999999" customHeight="1" x14ac:dyDescent="0.25">
      <c r="A5" s="222" t="s">
        <v>1</v>
      </c>
      <c r="B5" s="222"/>
      <c r="C5" s="222"/>
      <c r="D5" s="222"/>
      <c r="E5" s="222"/>
      <c r="F5" s="222"/>
      <c r="G5" s="222"/>
      <c r="H5" s="222"/>
      <c r="I5" s="222"/>
      <c r="J5" s="222"/>
    </row>
    <row r="6" spans="1:10" s="3" customFormat="1" ht="19.899999999999999" customHeight="1" x14ac:dyDescent="0.25">
      <c r="A6" s="222" t="s">
        <v>183</v>
      </c>
      <c r="B6" s="222"/>
      <c r="C6" s="222"/>
      <c r="D6" s="222"/>
      <c r="E6" s="222"/>
      <c r="F6" s="222"/>
      <c r="G6" s="222"/>
      <c r="H6" s="222"/>
      <c r="I6" s="222"/>
      <c r="J6" s="222"/>
    </row>
    <row r="7" spans="1:10" s="3" customFormat="1" ht="19.899999999999999" customHeight="1" x14ac:dyDescent="0.25">
      <c r="A7" s="2"/>
      <c r="B7" s="2"/>
      <c r="C7" s="2"/>
      <c r="D7" s="2"/>
      <c r="E7" s="2"/>
      <c r="F7" s="2"/>
      <c r="G7" s="2"/>
      <c r="H7" s="2"/>
      <c r="I7" s="2"/>
      <c r="J7" s="2"/>
    </row>
    <row r="8" spans="1:10" s="4" customFormat="1" ht="19.899999999999999" customHeight="1" x14ac:dyDescent="0.25">
      <c r="B8" s="5"/>
      <c r="C8" s="5"/>
      <c r="D8" s="248" t="s">
        <v>223</v>
      </c>
      <c r="E8" s="234"/>
      <c r="F8" s="234"/>
      <c r="G8" s="234"/>
    </row>
    <row r="9" spans="1:10" ht="18.75" customHeight="1" x14ac:dyDescent="0.2">
      <c r="B9" s="7"/>
      <c r="C9" s="7"/>
    </row>
    <row r="10" spans="1:10" ht="37.5" customHeight="1" x14ac:dyDescent="0.2">
      <c r="D10" s="8"/>
    </row>
    <row r="11" spans="1:10" ht="24.95" customHeight="1" x14ac:dyDescent="0.2">
      <c r="B11" s="10"/>
      <c r="C11" s="10"/>
      <c r="D11" s="9" t="s">
        <v>215</v>
      </c>
      <c r="E11" s="9"/>
      <c r="F11" s="9"/>
      <c r="G11" s="9"/>
      <c r="H11" s="9"/>
      <c r="I11" s="11"/>
      <c r="J11" s="11"/>
    </row>
    <row r="12" spans="1:10" ht="24.95" customHeight="1" x14ac:dyDescent="0.2">
      <c r="B12" s="12" t="s">
        <v>5</v>
      </c>
      <c r="C12" s="30" t="s">
        <v>6</v>
      </c>
      <c r="D12" s="12" t="s">
        <v>7</v>
      </c>
      <c r="E12" s="9"/>
      <c r="F12" s="9"/>
      <c r="G12" s="9"/>
      <c r="H12" s="9"/>
      <c r="I12" s="11"/>
      <c r="J12" s="11"/>
    </row>
    <row r="13" spans="1:10" ht="15" customHeight="1" x14ac:dyDescent="0.2">
      <c r="A13" s="14">
        <v>1</v>
      </c>
      <c r="B13" s="15" t="s">
        <v>8</v>
      </c>
      <c r="C13" s="17">
        <f>8500*C27</f>
        <v>8755</v>
      </c>
      <c r="D13" s="17">
        <f>ROUND(C13,0)</f>
        <v>8755</v>
      </c>
      <c r="E13" s="18"/>
    </row>
    <row r="14" spans="1:10" ht="15" customHeight="1" x14ac:dyDescent="0.2">
      <c r="A14" s="14">
        <v>2</v>
      </c>
      <c r="B14" s="15" t="s">
        <v>21</v>
      </c>
      <c r="C14" s="17">
        <f>349000*C27</f>
        <v>359470</v>
      </c>
      <c r="D14" s="17">
        <f>ROUND(C14,0)</f>
        <v>359470</v>
      </c>
      <c r="E14" s="18"/>
    </row>
    <row r="15" spans="1:10" ht="54.75" customHeight="1" x14ac:dyDescent="0.2">
      <c r="A15" s="14">
        <v>3</v>
      </c>
      <c r="B15" s="35" t="s">
        <v>22</v>
      </c>
      <c r="C15" s="17">
        <f>339000*C27</f>
        <v>349170</v>
      </c>
      <c r="D15" s="17">
        <f>ROUND(C15,0)</f>
        <v>349170</v>
      </c>
      <c r="E15" s="18"/>
    </row>
    <row r="16" spans="1:10" ht="47.25" customHeight="1" x14ac:dyDescent="0.2">
      <c r="A16" s="14">
        <v>4</v>
      </c>
      <c r="B16" s="35" t="s">
        <v>30</v>
      </c>
      <c r="C16" s="17">
        <f>27200*C27</f>
        <v>28016</v>
      </c>
      <c r="D16" s="17">
        <f>ROUND(C16,0)</f>
        <v>28016</v>
      </c>
      <c r="E16" s="18"/>
    </row>
    <row r="17" spans="1:10" ht="18.600000000000001" customHeight="1" x14ac:dyDescent="0.2">
      <c r="B17" s="20" t="s">
        <v>208</v>
      </c>
      <c r="C17" s="20"/>
      <c r="D17" s="21">
        <f>SUM(D13:D16)</f>
        <v>745411</v>
      </c>
    </row>
    <row r="18" spans="1:10" ht="15" customHeight="1" x14ac:dyDescent="0.2">
      <c r="C18" s="24"/>
    </row>
    <row r="19" spans="1:10" ht="15" customHeight="1" x14ac:dyDescent="0.2">
      <c r="B19" s="15" t="s">
        <v>10</v>
      </c>
      <c r="C19" s="22"/>
      <c r="D19" s="23">
        <v>71</v>
      </c>
    </row>
    <row r="20" spans="1:10" ht="15" customHeight="1" x14ac:dyDescent="0.2">
      <c r="B20" s="24"/>
      <c r="C20" s="24"/>
    </row>
    <row r="21" spans="1:10" ht="15" customHeight="1" x14ac:dyDescent="0.2">
      <c r="B21" s="15" t="s">
        <v>11</v>
      </c>
      <c r="C21" s="22"/>
      <c r="D21" s="23">
        <v>360</v>
      </c>
    </row>
    <row r="22" spans="1:10" ht="20.100000000000001" hidden="1" customHeight="1" x14ac:dyDescent="0.2">
      <c r="B22" s="25"/>
      <c r="C22" s="25"/>
    </row>
    <row r="23" spans="1:10" hidden="1" x14ac:dyDescent="0.2"/>
    <row r="24" spans="1:10" hidden="1" x14ac:dyDescent="0.2"/>
    <row r="25" spans="1:10" hidden="1" x14ac:dyDescent="0.2"/>
    <row r="26" spans="1:10" hidden="1" x14ac:dyDescent="0.2"/>
    <row r="27" spans="1:10" customFormat="1" ht="25.5" hidden="1" x14ac:dyDescent="0.2">
      <c r="A27" s="1"/>
      <c r="B27" s="26" t="s">
        <v>12</v>
      </c>
      <c r="C27" s="27">
        <v>1.03</v>
      </c>
      <c r="D27" s="1"/>
      <c r="E27" s="1"/>
      <c r="F27" s="1"/>
      <c r="G27" s="1"/>
      <c r="H27" s="1"/>
      <c r="I27" s="1"/>
      <c r="J27" s="1"/>
    </row>
    <row r="28" spans="1:10" hidden="1" x14ac:dyDescent="0.2"/>
    <row r="29" spans="1:10" hidden="1" x14ac:dyDescent="0.2"/>
    <row r="30" spans="1:10" hidden="1" x14ac:dyDescent="0.2"/>
    <row r="31" spans="1:10" hidden="1" x14ac:dyDescent="0.2"/>
    <row r="33" spans="2:4" x14ac:dyDescent="0.2">
      <c r="B33" s="260" t="s">
        <v>216</v>
      </c>
      <c r="C33" s="269"/>
      <c r="D33" s="270"/>
    </row>
    <row r="34" spans="2:4" x14ac:dyDescent="0.2">
      <c r="B34" s="271"/>
      <c r="C34" s="272"/>
      <c r="D34" s="273"/>
    </row>
    <row r="35" spans="2:4" x14ac:dyDescent="0.2">
      <c r="B35" s="271"/>
      <c r="C35" s="272"/>
      <c r="D35" s="273"/>
    </row>
    <row r="36" spans="2:4" ht="12.6" customHeight="1" x14ac:dyDescent="0.2">
      <c r="B36" s="271"/>
      <c r="C36" s="272"/>
      <c r="D36" s="273"/>
    </row>
    <row r="37" spans="2:4" hidden="1" x14ac:dyDescent="0.2">
      <c r="B37" s="271"/>
      <c r="C37" s="272"/>
      <c r="D37" s="273"/>
    </row>
    <row r="38" spans="2:4" ht="5.45" customHeight="1" x14ac:dyDescent="0.2">
      <c r="B38" s="274"/>
      <c r="C38" s="275"/>
      <c r="D38" s="276"/>
    </row>
  </sheetData>
  <mergeCells count="7">
    <mergeCell ref="B33:D38"/>
    <mergeCell ref="D8:G8"/>
    <mergeCell ref="A2:J2"/>
    <mergeCell ref="A3:J3"/>
    <mergeCell ref="B4:J4"/>
    <mergeCell ref="A5:J5"/>
    <mergeCell ref="A6:J6"/>
  </mergeCells>
  <pageMargins left="0.25" right="0.25" top="0.25" bottom="0.25" header="0.25" footer="0.25"/>
  <pageSetup scale="78" fitToWidth="0" fitToHeight="0" orientation="landscape"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topLeftCell="A8" zoomScaleNormal="100" workbookViewId="0">
      <selection activeCell="D14" sqref="D14"/>
    </sheetView>
  </sheetViews>
  <sheetFormatPr defaultColWidth="9" defaultRowHeight="12.75" x14ac:dyDescent="0.2"/>
  <cols>
    <col min="1" max="1" width="2.875" style="1" customWidth="1"/>
    <col min="2" max="2" width="39.125" style="1" customWidth="1"/>
    <col min="3" max="3" width="14.25" style="1" hidden="1" customWidth="1"/>
    <col min="4" max="4" width="24.7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182</v>
      </c>
      <c r="B2" s="222"/>
      <c r="C2" s="222"/>
      <c r="D2" s="222"/>
      <c r="E2" s="222"/>
      <c r="F2" s="222"/>
      <c r="G2" s="222"/>
      <c r="H2" s="222"/>
      <c r="I2" s="222"/>
      <c r="J2" s="222"/>
      <c r="K2" s="222"/>
    </row>
    <row r="3" spans="1:11" s="3" customFormat="1" ht="19.899999999999999" customHeight="1" x14ac:dyDescent="0.25">
      <c r="A3" s="227" t="s">
        <v>217</v>
      </c>
      <c r="B3" s="227"/>
      <c r="C3" s="227"/>
      <c r="D3" s="227"/>
      <c r="E3" s="227"/>
      <c r="F3" s="227"/>
      <c r="G3" s="227"/>
      <c r="H3" s="227"/>
      <c r="I3" s="227"/>
      <c r="J3" s="227"/>
      <c r="K3" s="227"/>
    </row>
    <row r="4" spans="1:11" s="3" customFormat="1" ht="19.899999999999999" customHeight="1" x14ac:dyDescent="0.25">
      <c r="A4" s="44"/>
      <c r="B4" s="227" t="s">
        <v>218</v>
      </c>
      <c r="C4" s="227"/>
      <c r="D4" s="227"/>
      <c r="E4" s="227"/>
      <c r="F4" s="227"/>
      <c r="G4" s="227"/>
      <c r="H4" s="227"/>
      <c r="I4" s="227"/>
      <c r="J4" s="227"/>
      <c r="K4" s="227"/>
    </row>
    <row r="5" spans="1:11" s="3" customFormat="1" ht="19.899999999999999" customHeight="1" x14ac:dyDescent="0.25">
      <c r="A5" s="222" t="s">
        <v>1</v>
      </c>
      <c r="B5" s="222"/>
      <c r="C5" s="222"/>
      <c r="D5" s="222"/>
      <c r="E5" s="222"/>
      <c r="F5" s="222"/>
      <c r="G5" s="222"/>
      <c r="H5" s="222"/>
      <c r="I5" s="222"/>
      <c r="J5" s="222"/>
      <c r="K5" s="222"/>
    </row>
    <row r="6" spans="1:11" s="3" customFormat="1" ht="19.899999999999999" customHeight="1" x14ac:dyDescent="0.25">
      <c r="A6" s="222" t="s">
        <v>183</v>
      </c>
      <c r="B6" s="222"/>
      <c r="C6" s="222"/>
      <c r="D6" s="222"/>
      <c r="E6" s="222"/>
      <c r="F6" s="222"/>
      <c r="G6" s="222"/>
      <c r="H6" s="222"/>
      <c r="I6" s="222"/>
      <c r="J6" s="222"/>
      <c r="K6" s="222"/>
    </row>
    <row r="7" spans="1:11" s="3" customFormat="1" ht="19.899999999999999" customHeight="1" x14ac:dyDescent="0.25">
      <c r="A7" s="2"/>
      <c r="B7" s="2"/>
      <c r="C7" s="2"/>
      <c r="D7" s="2"/>
      <c r="E7" s="2"/>
      <c r="F7" s="2"/>
      <c r="G7" s="2"/>
      <c r="H7" s="2"/>
      <c r="I7" s="2"/>
      <c r="J7" s="2"/>
      <c r="K7" s="2"/>
    </row>
    <row r="8" spans="1:11" s="4" customFormat="1" ht="19.899999999999999" customHeight="1" x14ac:dyDescent="0.25">
      <c r="B8" s="5"/>
      <c r="C8" s="5"/>
      <c r="D8" s="248" t="s">
        <v>223</v>
      </c>
      <c r="E8" s="285"/>
      <c r="F8" s="285"/>
      <c r="G8" s="285"/>
      <c r="H8" s="285"/>
    </row>
    <row r="9" spans="1:11" s="4" customFormat="1" ht="17.45" customHeight="1" x14ac:dyDescent="0.25">
      <c r="B9" s="5"/>
      <c r="C9" s="5"/>
    </row>
    <row r="10" spans="1:11" s="4" customFormat="1" ht="18.75" customHeight="1" x14ac:dyDescent="0.25">
      <c r="B10" s="5"/>
      <c r="C10" s="5"/>
    </row>
    <row r="11" spans="1:11" ht="37.5" customHeight="1" x14ac:dyDescent="0.2">
      <c r="D11" s="8"/>
    </row>
    <row r="12" spans="1:11" customFormat="1" ht="24.95" customHeight="1" x14ac:dyDescent="0.2">
      <c r="A12" s="1"/>
      <c r="B12" s="194"/>
      <c r="C12" s="194"/>
      <c r="D12" s="195" t="s">
        <v>215</v>
      </c>
      <c r="E12" s="9"/>
      <c r="F12" s="9"/>
      <c r="G12" s="9"/>
      <c r="H12" s="9"/>
      <c r="I12" s="11"/>
      <c r="J12" s="11"/>
      <c r="K12" s="11"/>
    </row>
    <row r="13" spans="1:11" customFormat="1" ht="24.95" customHeight="1" x14ac:dyDescent="0.2">
      <c r="A13" s="1"/>
      <c r="B13" s="145" t="s">
        <v>5</v>
      </c>
      <c r="C13" s="146" t="s">
        <v>6</v>
      </c>
      <c r="D13" s="145" t="s">
        <v>7</v>
      </c>
      <c r="E13" s="9"/>
      <c r="F13" s="9"/>
      <c r="G13" s="9"/>
      <c r="H13" s="9"/>
      <c r="I13" s="11"/>
      <c r="J13" s="11"/>
      <c r="K13" s="11"/>
    </row>
    <row r="14" spans="1:11" ht="15" customHeight="1" x14ac:dyDescent="0.2">
      <c r="A14" s="14">
        <v>1</v>
      </c>
      <c r="B14" s="15" t="s">
        <v>8</v>
      </c>
      <c r="C14" s="17">
        <f>18300*C28</f>
        <v>18849</v>
      </c>
      <c r="D14" s="17">
        <f>ROUND(C14,0)</f>
        <v>18849</v>
      </c>
      <c r="E14" s="18"/>
    </row>
    <row r="15" spans="1:11" ht="15" customHeight="1" x14ac:dyDescent="0.2">
      <c r="A15" s="14">
        <v>2</v>
      </c>
      <c r="B15" s="15" t="s">
        <v>21</v>
      </c>
      <c r="C15" s="17">
        <f>349000*C28</f>
        <v>359470</v>
      </c>
      <c r="D15" s="17">
        <f>ROUND(C15,0)</f>
        <v>359470</v>
      </c>
      <c r="E15" s="18"/>
    </row>
    <row r="16" spans="1:11" ht="45.6" customHeight="1" x14ac:dyDescent="0.2">
      <c r="A16" s="14">
        <v>3</v>
      </c>
      <c r="B16" s="35" t="s">
        <v>22</v>
      </c>
      <c r="C16" s="17">
        <f>339000*C28</f>
        <v>349170</v>
      </c>
      <c r="D16" s="17">
        <f>ROUND(C16,0)</f>
        <v>349170</v>
      </c>
      <c r="E16" s="18"/>
    </row>
    <row r="17" spans="1:11" ht="35.450000000000003" customHeight="1" x14ac:dyDescent="0.2">
      <c r="A17" s="14">
        <v>4</v>
      </c>
      <c r="B17" s="35" t="s">
        <v>30</v>
      </c>
      <c r="C17" s="17">
        <f>48300*C28</f>
        <v>49749</v>
      </c>
      <c r="D17" s="17">
        <f>ROUND(C17,0)</f>
        <v>49749</v>
      </c>
      <c r="E17" s="18"/>
    </row>
    <row r="18" spans="1:11" ht="35.1" customHeight="1" x14ac:dyDescent="0.2">
      <c r="B18" s="20" t="s">
        <v>208</v>
      </c>
      <c r="C18" s="20"/>
      <c r="D18" s="21">
        <f>SUM(D14:D17)</f>
        <v>777238</v>
      </c>
      <c r="K18" s="36"/>
    </row>
    <row r="19" spans="1:11" ht="15" customHeight="1" x14ac:dyDescent="0.2">
      <c r="B19" s="15" t="s">
        <v>10</v>
      </c>
      <c r="C19" s="22"/>
      <c r="D19" s="23">
        <v>71</v>
      </c>
    </row>
    <row r="20" spans="1:11" ht="15" customHeight="1" x14ac:dyDescent="0.2">
      <c r="B20" s="24"/>
      <c r="C20" s="24"/>
    </row>
    <row r="21" spans="1:11" ht="15" customHeight="1" x14ac:dyDescent="0.2">
      <c r="B21" s="15" t="s">
        <v>11</v>
      </c>
      <c r="C21" s="22"/>
      <c r="D21" s="23">
        <v>360</v>
      </c>
    </row>
    <row r="22" spans="1:11" ht="20.100000000000001" hidden="1" customHeight="1" x14ac:dyDescent="0.2">
      <c r="B22" s="25"/>
      <c r="C22" s="25"/>
    </row>
    <row r="23" spans="1:11" ht="75" hidden="1" customHeight="1" x14ac:dyDescent="0.2">
      <c r="B23" s="24"/>
      <c r="C23" s="24"/>
    </row>
    <row r="24" spans="1:11" hidden="1" x14ac:dyDescent="0.2"/>
    <row r="25" spans="1:11" hidden="1" x14ac:dyDescent="0.2"/>
    <row r="26" spans="1:11" hidden="1" x14ac:dyDescent="0.2"/>
    <row r="27" spans="1:11" hidden="1" x14ac:dyDescent="0.2"/>
    <row r="28" spans="1:11" customFormat="1" ht="25.5" hidden="1" x14ac:dyDescent="0.2">
      <c r="A28" s="1"/>
      <c r="B28" s="26" t="s">
        <v>12</v>
      </c>
      <c r="C28" s="27">
        <v>1.03</v>
      </c>
      <c r="D28" s="1"/>
      <c r="E28" s="1"/>
      <c r="F28" s="1"/>
      <c r="G28" s="1"/>
      <c r="H28" s="1"/>
      <c r="I28" s="1"/>
      <c r="J28" s="1"/>
      <c r="K28" s="1"/>
    </row>
    <row r="31" spans="1:11" ht="13.15" customHeight="1" x14ac:dyDescent="0.2">
      <c r="B31" s="260" t="s">
        <v>219</v>
      </c>
      <c r="C31" s="277"/>
      <c r="D31" s="278"/>
    </row>
    <row r="32" spans="1:11" x14ac:dyDescent="0.2">
      <c r="B32" s="279"/>
      <c r="C32" s="280"/>
      <c r="D32" s="281"/>
    </row>
    <row r="33" spans="2:4" x14ac:dyDescent="0.2">
      <c r="B33" s="279"/>
      <c r="C33" s="280"/>
      <c r="D33" s="281"/>
    </row>
    <row r="34" spans="2:4" x14ac:dyDescent="0.2">
      <c r="B34" s="279"/>
      <c r="C34" s="280"/>
      <c r="D34" s="281"/>
    </row>
    <row r="35" spans="2:4" ht="10.9" customHeight="1" x14ac:dyDescent="0.2">
      <c r="B35" s="279"/>
      <c r="C35" s="280"/>
      <c r="D35" s="281"/>
    </row>
    <row r="36" spans="2:4" hidden="1" x14ac:dyDescent="0.2">
      <c r="B36" s="282"/>
      <c r="C36" s="283"/>
      <c r="D36" s="284"/>
    </row>
    <row r="37" spans="2:4" x14ac:dyDescent="0.2">
      <c r="B37" s="212"/>
      <c r="C37" s="212"/>
      <c r="D37" s="212"/>
    </row>
  </sheetData>
  <mergeCells count="7">
    <mergeCell ref="B31:D36"/>
    <mergeCell ref="D8:H8"/>
    <mergeCell ref="A2:K2"/>
    <mergeCell ref="A3:K3"/>
    <mergeCell ref="B4:K4"/>
    <mergeCell ref="A5:K5"/>
    <mergeCell ref="A6:K6"/>
  </mergeCells>
  <pageMargins left="0.25" right="0.25" top="0.25" bottom="0.25" header="0.25" footer="0.25"/>
  <pageSetup scale="72" fitToWidth="0" fitToHeight="0" orientation="landscape"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5" sqref="A25"/>
    </sheetView>
  </sheetViews>
  <sheetFormatPr defaultRowHeight="12" x14ac:dyDescent="0.1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topLeftCell="A16" zoomScaleNormal="100" workbookViewId="0">
      <selection activeCell="G37" sqref="G37"/>
    </sheetView>
  </sheetViews>
  <sheetFormatPr defaultColWidth="9" defaultRowHeight="12.75" x14ac:dyDescent="0.2"/>
  <cols>
    <col min="1" max="1" width="2.875" style="1" customWidth="1"/>
    <col min="2" max="2" width="47.125" style="1" customWidth="1"/>
    <col min="3" max="3" width="23.5" style="1" hidden="1" customWidth="1"/>
    <col min="4" max="4" width="27.87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32</v>
      </c>
      <c r="B2" s="222"/>
      <c r="C2" s="222"/>
      <c r="D2" s="222"/>
      <c r="E2" s="222"/>
      <c r="F2" s="222"/>
      <c r="G2" s="222"/>
      <c r="H2" s="222"/>
      <c r="I2" s="222"/>
      <c r="J2" s="222"/>
      <c r="K2" s="222"/>
    </row>
    <row r="3" spans="1:11" s="3" customFormat="1" ht="19.899999999999999" customHeight="1" x14ac:dyDescent="0.25">
      <c r="A3" s="222" t="s">
        <v>33</v>
      </c>
      <c r="B3" s="222"/>
      <c r="C3" s="222"/>
      <c r="D3" s="222"/>
      <c r="E3" s="222"/>
      <c r="F3" s="222"/>
      <c r="G3" s="222"/>
      <c r="H3" s="222"/>
      <c r="I3" s="222"/>
      <c r="J3" s="222"/>
      <c r="K3" s="222"/>
    </row>
    <row r="4" spans="1:11" s="3" customFormat="1" ht="19.899999999999999" customHeight="1" x14ac:dyDescent="0.25">
      <c r="A4" s="222" t="s">
        <v>1</v>
      </c>
      <c r="B4" s="222"/>
      <c r="C4" s="222"/>
      <c r="D4" s="222"/>
      <c r="E4" s="222"/>
      <c r="F4" s="222"/>
      <c r="G4" s="222"/>
      <c r="H4" s="222"/>
      <c r="I4" s="222"/>
      <c r="J4" s="222"/>
      <c r="K4" s="222"/>
    </row>
    <row r="5" spans="1:11" s="3" customFormat="1" ht="19.899999999999999" customHeight="1" x14ac:dyDescent="0.25">
      <c r="A5" s="222" t="s">
        <v>34</v>
      </c>
      <c r="B5" s="222"/>
      <c r="C5" s="222"/>
      <c r="D5" s="222"/>
      <c r="E5" s="222"/>
      <c r="F5" s="222"/>
      <c r="G5" s="222"/>
      <c r="H5" s="222"/>
      <c r="I5" s="222"/>
      <c r="J5" s="222"/>
      <c r="K5" s="222"/>
    </row>
    <row r="6" spans="1:11" s="3" customFormat="1" ht="30" customHeight="1" x14ac:dyDescent="0.25">
      <c r="A6" s="24"/>
      <c r="B6" s="2"/>
      <c r="C6" s="2"/>
      <c r="D6" s="2"/>
      <c r="E6" s="2"/>
      <c r="F6" s="2"/>
      <c r="G6" s="2"/>
      <c r="H6" s="2"/>
      <c r="I6" s="2"/>
      <c r="J6" s="2"/>
      <c r="K6" s="2"/>
    </row>
    <row r="7" spans="1:11" s="4" customFormat="1" ht="30" customHeight="1" x14ac:dyDescent="0.25">
      <c r="B7" s="5"/>
      <c r="C7" s="5"/>
    </row>
    <row r="8" spans="1:11" ht="24.95" customHeight="1" x14ac:dyDescent="0.2">
      <c r="B8" s="7"/>
      <c r="C8" s="7"/>
      <c r="D8" s="8"/>
    </row>
    <row r="9" spans="1:11" ht="24.95" customHeight="1" x14ac:dyDescent="0.2">
      <c r="D9" s="161" t="s">
        <v>35</v>
      </c>
    </row>
    <row r="10" spans="1:11" ht="24.95" customHeight="1" x14ac:dyDescent="0.2">
      <c r="B10" s="10"/>
      <c r="C10" s="10"/>
      <c r="D10" s="161" t="s">
        <v>36</v>
      </c>
      <c r="E10" s="161"/>
      <c r="F10" s="161"/>
      <c r="G10" s="161"/>
      <c r="H10" s="9"/>
      <c r="I10" s="11"/>
      <c r="J10" s="11"/>
      <c r="K10" s="11"/>
    </row>
    <row r="11" spans="1:11" ht="24.95" customHeight="1" x14ac:dyDescent="0.2">
      <c r="B11" s="12" t="s">
        <v>5</v>
      </c>
      <c r="C11" s="30" t="s">
        <v>6</v>
      </c>
      <c r="D11" s="12" t="s">
        <v>7</v>
      </c>
      <c r="E11" s="161"/>
      <c r="F11" s="161"/>
      <c r="G11" s="161"/>
      <c r="H11" s="9"/>
      <c r="I11" s="11"/>
      <c r="J11" s="11"/>
      <c r="K11" s="11"/>
    </row>
    <row r="12" spans="1:11" ht="35.1" customHeight="1" x14ac:dyDescent="0.2">
      <c r="A12" s="14">
        <v>1</v>
      </c>
      <c r="B12" s="29" t="s">
        <v>8</v>
      </c>
      <c r="C12" s="151">
        <f>9163*C28</f>
        <v>9437.89</v>
      </c>
      <c r="D12" s="151">
        <f>ROUND(C12,0)</f>
        <v>9438</v>
      </c>
      <c r="E12" s="18"/>
    </row>
    <row r="13" spans="1:11" ht="35.1" customHeight="1" x14ac:dyDescent="0.2">
      <c r="A13" s="14">
        <v>2</v>
      </c>
      <c r="B13" s="29" t="s">
        <v>37</v>
      </c>
      <c r="C13" s="151">
        <f>10780*C28</f>
        <v>11103.4</v>
      </c>
      <c r="D13" s="151">
        <f>ROUND(C13,0)</f>
        <v>11103</v>
      </c>
      <c r="E13" s="18"/>
    </row>
    <row r="14" spans="1:11" ht="35.1" customHeight="1" x14ac:dyDescent="0.2">
      <c r="A14" s="14">
        <v>3</v>
      </c>
      <c r="B14" s="29" t="s">
        <v>21</v>
      </c>
      <c r="C14" s="151">
        <f>80848*C28</f>
        <v>83273.440000000002</v>
      </c>
      <c r="D14" s="151">
        <f>ROUND(C14,0)</f>
        <v>83273</v>
      </c>
      <c r="E14" s="18"/>
    </row>
    <row r="15" spans="1:11" ht="49.5" customHeight="1" x14ac:dyDescent="0.2">
      <c r="A15" s="14">
        <v>4</v>
      </c>
      <c r="B15" s="35" t="s">
        <v>22</v>
      </c>
      <c r="C15" s="151">
        <f>20482*C28</f>
        <v>21096.46</v>
      </c>
      <c r="D15" s="151">
        <f>ROUND(C15,0)</f>
        <v>21096</v>
      </c>
      <c r="E15" s="18"/>
    </row>
    <row r="16" spans="1:11" ht="42" customHeight="1" x14ac:dyDescent="0.2">
      <c r="A16" s="14">
        <v>5</v>
      </c>
      <c r="B16" s="35" t="s">
        <v>30</v>
      </c>
      <c r="C16" s="151">
        <f>7545*C28</f>
        <v>7771.35</v>
      </c>
      <c r="D16" s="151">
        <f>ROUND(C16,0)</f>
        <v>7771</v>
      </c>
      <c r="E16" s="18"/>
    </row>
    <row r="17" spans="1:11" ht="35.1" customHeight="1" thickBot="1" x14ac:dyDescent="0.25">
      <c r="B17" s="20" t="s">
        <v>38</v>
      </c>
      <c r="C17" s="20"/>
      <c r="D17" s="37">
        <f>SUM(D12:D16)</f>
        <v>132681</v>
      </c>
      <c r="K17" s="36"/>
    </row>
    <row r="18" spans="1:11" ht="30.6" customHeight="1" thickBot="1" x14ac:dyDescent="0.25">
      <c r="B18" s="38" t="s">
        <v>39</v>
      </c>
      <c r="C18" s="39">
        <f>5400*C28</f>
        <v>5562</v>
      </c>
      <c r="D18" s="40">
        <f>ROUND(C18,0)</f>
        <v>5562</v>
      </c>
      <c r="E18" s="226"/>
      <c r="F18" s="226"/>
      <c r="G18" s="226"/>
    </row>
    <row r="19" spans="1:11" ht="20.100000000000001" customHeight="1" x14ac:dyDescent="0.2">
      <c r="B19" s="15" t="s">
        <v>10</v>
      </c>
      <c r="C19" s="41"/>
      <c r="D19" s="42" t="s">
        <v>40</v>
      </c>
    </row>
    <row r="20" spans="1:11" ht="20.100000000000001" customHeight="1" x14ac:dyDescent="0.2">
      <c r="B20" s="24"/>
      <c r="C20" s="24"/>
    </row>
    <row r="21" spans="1:11" ht="20.100000000000001" customHeight="1" x14ac:dyDescent="0.2">
      <c r="B21" s="15" t="s">
        <v>11</v>
      </c>
      <c r="C21" s="22"/>
      <c r="D21" s="23" t="s">
        <v>40</v>
      </c>
    </row>
    <row r="22" spans="1:11" ht="12" customHeight="1" x14ac:dyDescent="0.2">
      <c r="B22" s="25"/>
      <c r="C22" s="25"/>
    </row>
    <row r="23" spans="1:11" ht="102.6" customHeight="1" x14ac:dyDescent="0.2">
      <c r="B23" s="19" t="s">
        <v>41</v>
      </c>
      <c r="C23" s="43"/>
      <c r="D23" s="224" t="s">
        <v>42</v>
      </c>
      <c r="E23" s="225"/>
    </row>
    <row r="24" spans="1:11" hidden="1" x14ac:dyDescent="0.2"/>
    <row r="25" spans="1:11" hidden="1" x14ac:dyDescent="0.2"/>
    <row r="26" spans="1:11" hidden="1" x14ac:dyDescent="0.2"/>
    <row r="27" spans="1:11" hidden="1" x14ac:dyDescent="0.2"/>
    <row r="28" spans="1:11" customFormat="1" hidden="1" x14ac:dyDescent="0.2">
      <c r="A28" s="1"/>
      <c r="B28" s="26" t="s">
        <v>12</v>
      </c>
      <c r="C28" s="27">
        <v>1.03</v>
      </c>
      <c r="D28" s="1"/>
      <c r="E28" s="1"/>
      <c r="F28" s="1"/>
      <c r="G28" s="1"/>
      <c r="H28" s="1"/>
      <c r="I28" s="1"/>
      <c r="J28" s="1"/>
      <c r="K28" s="1"/>
    </row>
    <row r="29" spans="1:11" hidden="1" x14ac:dyDescent="0.2">
      <c r="B29" s="24"/>
    </row>
    <row r="30" spans="1:11" hidden="1" x14ac:dyDescent="0.2">
      <c r="B30" s="24"/>
      <c r="C30" s="27"/>
    </row>
    <row r="31" spans="1:11" hidden="1" x14ac:dyDescent="0.2">
      <c r="B31" s="24"/>
      <c r="C31" s="27"/>
    </row>
    <row r="32" spans="1:11" hidden="1" x14ac:dyDescent="0.2">
      <c r="B32" s="24"/>
      <c r="C32" s="27"/>
    </row>
    <row r="33" spans="2:3" ht="31.9" customHeight="1" x14ac:dyDescent="0.2">
      <c r="B33" s="24"/>
      <c r="C33" s="27"/>
    </row>
    <row r="35" spans="2:3" x14ac:dyDescent="0.2">
      <c r="B35" s="24"/>
      <c r="C35" s="27"/>
    </row>
  </sheetData>
  <mergeCells count="6">
    <mergeCell ref="D23:E23"/>
    <mergeCell ref="A2:K2"/>
    <mergeCell ref="A3:K3"/>
    <mergeCell ref="A4:K4"/>
    <mergeCell ref="A5:K5"/>
    <mergeCell ref="E18:G18"/>
  </mergeCells>
  <pageMargins left="0.25" right="0.25" top="0.25" bottom="0.25" header="0.25" footer="0.25"/>
  <pageSetup scale="68" fitToWidth="0" fitToHeight="0"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topLeftCell="B14" zoomScaleNormal="100" workbookViewId="0">
      <selection activeCell="B14" sqref="B14"/>
    </sheetView>
  </sheetViews>
  <sheetFormatPr defaultColWidth="9" defaultRowHeight="12.75" x14ac:dyDescent="0.2"/>
  <cols>
    <col min="1" max="1" width="2.875" style="1" customWidth="1"/>
    <col min="2" max="2" width="46" style="1" customWidth="1"/>
    <col min="3" max="3" width="23" style="1" hidden="1" customWidth="1"/>
    <col min="4" max="4" width="24"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32</v>
      </c>
      <c r="B2" s="222"/>
      <c r="C2" s="222"/>
      <c r="D2" s="222"/>
      <c r="E2" s="222"/>
      <c r="F2" s="222"/>
      <c r="G2" s="222"/>
      <c r="H2" s="222"/>
      <c r="I2" s="222"/>
      <c r="J2" s="222"/>
      <c r="K2" s="222"/>
    </row>
    <row r="3" spans="1:11" s="3" customFormat="1" ht="19.899999999999999" customHeight="1" x14ac:dyDescent="0.25">
      <c r="A3" s="222" t="s">
        <v>43</v>
      </c>
      <c r="B3" s="222"/>
      <c r="C3" s="222"/>
      <c r="D3" s="222"/>
      <c r="E3" s="222"/>
      <c r="F3" s="222"/>
      <c r="G3" s="222"/>
      <c r="H3" s="222"/>
      <c r="I3" s="222"/>
      <c r="J3" s="222"/>
      <c r="K3" s="222"/>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34</v>
      </c>
      <c r="B5" s="222"/>
      <c r="C5" s="222"/>
      <c r="D5" s="222"/>
      <c r="E5" s="222"/>
      <c r="F5" s="222"/>
      <c r="G5" s="222"/>
      <c r="H5" s="222"/>
      <c r="I5" s="222"/>
      <c r="J5" s="222"/>
      <c r="K5" s="222"/>
    </row>
    <row r="6" spans="1:11" s="3" customFormat="1" ht="12.75" customHeight="1" x14ac:dyDescent="0.25">
      <c r="A6" s="2"/>
      <c r="B6" s="2"/>
      <c r="C6" s="2"/>
      <c r="D6" s="2"/>
      <c r="E6" s="2"/>
      <c r="F6" s="2"/>
      <c r="G6" s="2"/>
      <c r="H6" s="2"/>
      <c r="I6" s="2"/>
      <c r="J6" s="2"/>
      <c r="K6" s="2"/>
    </row>
    <row r="7" spans="1:11" s="4" customFormat="1" ht="30" customHeight="1" x14ac:dyDescent="0.25">
      <c r="B7" s="5"/>
      <c r="C7" s="5"/>
      <c r="D7" s="6"/>
      <c r="E7" s="6"/>
      <c r="F7" s="6"/>
      <c r="G7" s="6"/>
    </row>
    <row r="8" spans="1:11" s="4" customFormat="1" ht="30" customHeight="1" x14ac:dyDescent="0.25">
      <c r="B8" s="5"/>
      <c r="C8" s="5"/>
    </row>
    <row r="9" spans="1:11" s="4" customFormat="1" ht="18.75" customHeight="1" x14ac:dyDescent="0.25">
      <c r="B9" s="5"/>
      <c r="C9" s="5"/>
    </row>
    <row r="10" spans="1:11" ht="18.75" customHeight="1" x14ac:dyDescent="0.2">
      <c r="B10" s="7"/>
      <c r="C10" s="7"/>
      <c r="D10" s="8"/>
    </row>
    <row r="11" spans="1:11" ht="18.75" customHeight="1" x14ac:dyDescent="0.2">
      <c r="D11" s="9" t="s">
        <v>44</v>
      </c>
    </row>
    <row r="12" spans="1:11" ht="24.95" customHeight="1" x14ac:dyDescent="0.2">
      <c r="B12" s="10" t="s">
        <v>45</v>
      </c>
      <c r="C12" s="10"/>
      <c r="D12" s="9" t="s">
        <v>36</v>
      </c>
      <c r="E12" s="9"/>
      <c r="F12" s="9"/>
      <c r="G12" s="9"/>
      <c r="H12" s="9"/>
      <c r="I12" s="11"/>
      <c r="J12" s="11"/>
      <c r="K12" s="11"/>
    </row>
    <row r="13" spans="1:11" ht="24.95" customHeight="1" x14ac:dyDescent="0.2">
      <c r="B13" s="12" t="s">
        <v>5</v>
      </c>
      <c r="C13" s="30" t="s">
        <v>6</v>
      </c>
      <c r="D13" s="12" t="s">
        <v>7</v>
      </c>
      <c r="E13" s="9"/>
      <c r="F13" s="9"/>
      <c r="G13" s="9"/>
      <c r="H13" s="9"/>
      <c r="I13" s="11"/>
      <c r="J13" s="11"/>
      <c r="K13" s="11"/>
    </row>
    <row r="14" spans="1:11" ht="35.1" customHeight="1" x14ac:dyDescent="0.2">
      <c r="A14" s="14">
        <v>1</v>
      </c>
      <c r="B14" s="15" t="s">
        <v>8</v>
      </c>
      <c r="C14" s="17">
        <f>8185*C30</f>
        <v>8430.5500000000011</v>
      </c>
      <c r="D14" s="17">
        <f t="shared" ref="D14:D19" si="0">ROUND(C14,0)</f>
        <v>8431</v>
      </c>
      <c r="E14" s="18"/>
    </row>
    <row r="15" spans="1:11" ht="35.1" customHeight="1" x14ac:dyDescent="0.2">
      <c r="A15" s="14">
        <v>2</v>
      </c>
      <c r="B15" s="15" t="s">
        <v>46</v>
      </c>
      <c r="C15" s="17">
        <f>4677*C30</f>
        <v>4817.3100000000004</v>
      </c>
      <c r="D15" s="17">
        <f t="shared" si="0"/>
        <v>4817</v>
      </c>
      <c r="E15" s="18"/>
    </row>
    <row r="16" spans="1:11" ht="45" customHeight="1" x14ac:dyDescent="0.2">
      <c r="A16" s="14">
        <v>3</v>
      </c>
      <c r="B16" s="19" t="s">
        <v>47</v>
      </c>
      <c r="C16" s="17">
        <f>11689*C30</f>
        <v>12039.67</v>
      </c>
      <c r="D16" s="17">
        <f t="shared" si="0"/>
        <v>12040</v>
      </c>
      <c r="E16" s="18"/>
    </row>
    <row r="17" spans="1:11" ht="35.1" customHeight="1" x14ac:dyDescent="0.2">
      <c r="A17" s="14">
        <v>4</v>
      </c>
      <c r="B17" s="15" t="s">
        <v>21</v>
      </c>
      <c r="C17" s="17">
        <f>35080*C30</f>
        <v>36132.400000000001</v>
      </c>
      <c r="D17" s="17">
        <f t="shared" si="0"/>
        <v>36132</v>
      </c>
      <c r="E17" s="18"/>
    </row>
    <row r="18" spans="1:11" ht="48" customHeight="1" x14ac:dyDescent="0.2">
      <c r="A18" s="14">
        <v>5</v>
      </c>
      <c r="B18" s="35" t="s">
        <v>22</v>
      </c>
      <c r="C18" s="17">
        <f>64311*C30</f>
        <v>66240.33</v>
      </c>
      <c r="D18" s="17">
        <f t="shared" si="0"/>
        <v>66240</v>
      </c>
      <c r="E18" s="18"/>
    </row>
    <row r="19" spans="1:11" ht="35.1" customHeight="1" x14ac:dyDescent="0.2">
      <c r="A19" s="14">
        <v>6</v>
      </c>
      <c r="B19" s="35" t="s">
        <v>30</v>
      </c>
      <c r="C19" s="17">
        <f>14032*C30</f>
        <v>14452.960000000001</v>
      </c>
      <c r="D19" s="17">
        <f t="shared" si="0"/>
        <v>14453</v>
      </c>
      <c r="E19" s="18"/>
    </row>
    <row r="20" spans="1:11" ht="35.1" customHeight="1" thickBot="1" x14ac:dyDescent="0.25">
      <c r="B20" s="20" t="s">
        <v>48</v>
      </c>
      <c r="C20" s="20"/>
      <c r="D20" s="45">
        <f>SUM(D14:D19)</f>
        <v>142113</v>
      </c>
      <c r="K20" s="36"/>
    </row>
    <row r="21" spans="1:11" ht="39.950000000000003" customHeight="1" thickBot="1" x14ac:dyDescent="0.25">
      <c r="B21" s="38" t="s">
        <v>39</v>
      </c>
      <c r="C21" s="40">
        <f>5400*C30</f>
        <v>5562</v>
      </c>
      <c r="D21" s="40">
        <f>ROUND(C21,0)</f>
        <v>5562</v>
      </c>
    </row>
    <row r="22" spans="1:11" ht="20.100000000000001" customHeight="1" x14ac:dyDescent="0.2">
      <c r="B22" s="15" t="s">
        <v>10</v>
      </c>
      <c r="C22" s="22"/>
      <c r="D22" s="23" t="s">
        <v>40</v>
      </c>
    </row>
    <row r="23" spans="1:11" ht="20.100000000000001" customHeight="1" x14ac:dyDescent="0.2">
      <c r="B23" s="24"/>
      <c r="C23" s="24"/>
    </row>
    <row r="24" spans="1:11" ht="20.100000000000001" customHeight="1" x14ac:dyDescent="0.2">
      <c r="B24" s="15" t="s">
        <v>11</v>
      </c>
      <c r="C24" s="22"/>
      <c r="D24" s="23" t="s">
        <v>40</v>
      </c>
    </row>
    <row r="25" spans="1:11" ht="20.100000000000001" customHeight="1" x14ac:dyDescent="0.2">
      <c r="B25" s="25"/>
      <c r="C25" s="25"/>
    </row>
    <row r="26" spans="1:11" ht="42" customHeight="1" x14ac:dyDescent="0.2">
      <c r="B26" s="19" t="s">
        <v>41</v>
      </c>
      <c r="C26" s="24"/>
    </row>
    <row r="27" spans="1:11" hidden="1" x14ac:dyDescent="0.2"/>
    <row r="28" spans="1:11" hidden="1" x14ac:dyDescent="0.2"/>
    <row r="29" spans="1:11" hidden="1" x14ac:dyDescent="0.2"/>
    <row r="30" spans="1:11" hidden="1" x14ac:dyDescent="0.2">
      <c r="B30" s="26" t="s">
        <v>12</v>
      </c>
      <c r="C30" s="27">
        <v>1.03</v>
      </c>
      <c r="D30" s="46"/>
    </row>
    <row r="31" spans="1:11" customFormat="1" hidden="1" x14ac:dyDescent="0.2">
      <c r="A31" s="1"/>
      <c r="B31" s="24"/>
      <c r="C31" s="27"/>
      <c r="D31" s="1"/>
      <c r="E31" s="1"/>
      <c r="F31" s="1"/>
      <c r="G31" s="1"/>
      <c r="H31" s="1"/>
      <c r="I31" s="1"/>
      <c r="J31" s="1"/>
      <c r="K31" s="1"/>
    </row>
    <row r="32" spans="1:11" hidden="1" x14ac:dyDescent="0.2">
      <c r="B32" s="24"/>
      <c r="C32" s="27"/>
    </row>
    <row r="33" spans="2:3" hidden="1" x14ac:dyDescent="0.2">
      <c r="B33" s="24"/>
      <c r="C33" s="27"/>
    </row>
    <row r="34" spans="2:3" hidden="1" x14ac:dyDescent="0.2">
      <c r="B34" s="24"/>
      <c r="C34" s="27"/>
    </row>
    <row r="35" spans="2:3" hidden="1" x14ac:dyDescent="0.2">
      <c r="B35" s="24"/>
      <c r="C35" s="27"/>
    </row>
    <row r="36" spans="2:3" x14ac:dyDescent="0.2">
      <c r="B36" s="24"/>
      <c r="C36" s="27"/>
    </row>
    <row r="37" spans="2:3" x14ac:dyDescent="0.2">
      <c r="B37" s="24"/>
      <c r="C37" s="27"/>
    </row>
  </sheetData>
  <mergeCells count="4">
    <mergeCell ref="A2:K2"/>
    <mergeCell ref="A3:K3"/>
    <mergeCell ref="A4:K4"/>
    <mergeCell ref="A5:K5"/>
  </mergeCells>
  <pageMargins left="0.25" right="0.25" top="0.25" bottom="0.25" header="0.25" footer="0.25"/>
  <pageSetup scale="66" fitToWidth="0" fitToHeight="0"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opLeftCell="A8" zoomScaleNormal="100" workbookViewId="0">
      <selection activeCell="A9" sqref="A9"/>
    </sheetView>
  </sheetViews>
  <sheetFormatPr defaultColWidth="9" defaultRowHeight="12.75" x14ac:dyDescent="0.2"/>
  <cols>
    <col min="1" max="1" width="2.875" style="1" customWidth="1"/>
    <col min="2" max="2" width="41.5" style="1" customWidth="1"/>
    <col min="3" max="3" width="23.375" style="1" hidden="1" customWidth="1"/>
    <col min="4" max="4" width="23.625" style="1" customWidth="1"/>
    <col min="5" max="6" width="18.625" style="1" customWidth="1"/>
    <col min="7" max="8" width="12.625" style="1" customWidth="1"/>
    <col min="9" max="9" width="17.625" style="1" customWidth="1"/>
    <col min="10" max="10" width="7.625" style="1" customWidth="1"/>
    <col min="11" max="11" width="18.625" style="1" customWidth="1"/>
    <col min="12" max="12" width="9" style="1" customWidth="1"/>
    <col min="13" max="16384" width="9" style="1"/>
  </cols>
  <sheetData>
    <row r="2" spans="1:11" s="3" customFormat="1" ht="19.899999999999999" customHeight="1" x14ac:dyDescent="0.25">
      <c r="A2" s="222" t="s">
        <v>32</v>
      </c>
      <c r="B2" s="222"/>
      <c r="C2" s="222"/>
      <c r="D2" s="222"/>
      <c r="E2" s="222"/>
      <c r="F2" s="222"/>
      <c r="G2" s="222"/>
      <c r="H2" s="222"/>
      <c r="I2" s="222"/>
      <c r="J2" s="222"/>
      <c r="K2" s="222"/>
    </row>
    <row r="3" spans="1:11" s="3" customFormat="1" ht="19.899999999999999" customHeight="1" x14ac:dyDescent="0.25">
      <c r="A3" s="227" t="s">
        <v>49</v>
      </c>
      <c r="B3" s="227"/>
      <c r="C3" s="227"/>
      <c r="D3" s="227"/>
      <c r="E3" s="227"/>
      <c r="F3" s="227"/>
      <c r="G3" s="227"/>
      <c r="H3" s="227"/>
      <c r="I3" s="227"/>
      <c r="J3" s="227"/>
      <c r="K3" s="227"/>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34</v>
      </c>
      <c r="B5" s="222"/>
      <c r="C5" s="222"/>
      <c r="D5" s="222"/>
      <c r="E5" s="222"/>
      <c r="F5" s="222"/>
      <c r="G5" s="222"/>
      <c r="H5" s="222"/>
      <c r="I5" s="222"/>
      <c r="J5" s="222"/>
      <c r="K5" s="222"/>
    </row>
    <row r="6" spans="1:11" s="3" customFormat="1" ht="12.75" customHeight="1" x14ac:dyDescent="0.25">
      <c r="A6" s="2"/>
      <c r="B6" s="2"/>
      <c r="C6" s="2"/>
      <c r="E6" s="2"/>
      <c r="F6" s="2"/>
      <c r="G6" s="2"/>
      <c r="H6" s="2"/>
      <c r="I6" s="2"/>
      <c r="J6" s="2"/>
      <c r="K6" s="2"/>
    </row>
    <row r="7" spans="1:11" s="4" customFormat="1" ht="30" customHeight="1" x14ac:dyDescent="0.25">
      <c r="B7" s="5"/>
      <c r="C7" s="5"/>
      <c r="D7" s="6"/>
      <c r="E7" s="6"/>
      <c r="F7" s="6"/>
      <c r="G7" s="6"/>
    </row>
    <row r="8" spans="1:11" s="4" customFormat="1" ht="18.75" customHeight="1" x14ac:dyDescent="0.25">
      <c r="B8" s="5"/>
      <c r="C8" s="5"/>
    </row>
    <row r="9" spans="1:11" ht="18.75" customHeight="1" x14ac:dyDescent="0.2">
      <c r="B9" s="7"/>
      <c r="C9" s="7"/>
      <c r="D9" s="8"/>
    </row>
    <row r="10" spans="1:11" ht="39" customHeight="1" x14ac:dyDescent="0.2">
      <c r="D10" s="9" t="s">
        <v>50</v>
      </c>
      <c r="E10" s="223"/>
      <c r="F10" s="223"/>
      <c r="G10" s="223"/>
      <c r="H10" s="223"/>
      <c r="I10" s="223"/>
      <c r="J10" s="223"/>
      <c r="K10" s="223"/>
    </row>
    <row r="11" spans="1:11" ht="24.95" customHeight="1" x14ac:dyDescent="0.2">
      <c r="B11" s="10"/>
      <c r="C11" s="10"/>
      <c r="D11" s="8" t="s">
        <v>36</v>
      </c>
      <c r="E11" s="9"/>
      <c r="F11" s="9"/>
      <c r="G11" s="9"/>
      <c r="H11" s="9"/>
      <c r="I11" s="11"/>
      <c r="J11" s="11"/>
      <c r="K11" s="11"/>
    </row>
    <row r="12" spans="1:11" ht="24.95" customHeight="1" x14ac:dyDescent="0.2">
      <c r="B12" s="12" t="s">
        <v>5</v>
      </c>
      <c r="C12" s="30" t="s">
        <v>6</v>
      </c>
      <c r="D12" s="12" t="s">
        <v>7</v>
      </c>
      <c r="E12" s="9"/>
      <c r="F12" s="9"/>
      <c r="G12" s="9"/>
      <c r="H12" s="9"/>
      <c r="I12" s="11"/>
      <c r="J12" s="11"/>
      <c r="K12" s="11"/>
    </row>
    <row r="13" spans="1:11" ht="35.1" customHeight="1" x14ac:dyDescent="0.2">
      <c r="A13" s="14">
        <v>1</v>
      </c>
      <c r="B13" s="15" t="s">
        <v>8</v>
      </c>
      <c r="C13" s="17">
        <f>8185*C29</f>
        <v>8430.5500000000011</v>
      </c>
      <c r="D13" s="17">
        <f>ROUND(C13,0)</f>
        <v>8431</v>
      </c>
      <c r="E13" s="18"/>
    </row>
    <row r="14" spans="1:11" ht="35.1" customHeight="1" x14ac:dyDescent="0.2">
      <c r="A14" s="14">
        <v>2</v>
      </c>
      <c r="B14" s="15" t="s">
        <v>51</v>
      </c>
      <c r="C14" s="17">
        <f>7016*C29</f>
        <v>7226.4800000000005</v>
      </c>
      <c r="D14" s="17">
        <f>ROUND(C14,0)</f>
        <v>7226</v>
      </c>
      <c r="E14" s="18"/>
    </row>
    <row r="15" spans="1:11" ht="45" customHeight="1" x14ac:dyDescent="0.2">
      <c r="A15" s="14">
        <v>3</v>
      </c>
      <c r="B15" s="19" t="s">
        <v>52</v>
      </c>
      <c r="C15" s="19"/>
      <c r="D15" s="17" t="s">
        <v>53</v>
      </c>
      <c r="E15" s="18"/>
    </row>
    <row r="16" spans="1:11" ht="35.1" customHeight="1" x14ac:dyDescent="0.2">
      <c r="A16" s="14">
        <v>4</v>
      </c>
      <c r="B16" s="15" t="s">
        <v>21</v>
      </c>
      <c r="C16" s="17">
        <f>35080*C29</f>
        <v>36132.400000000001</v>
      </c>
      <c r="D16" s="17">
        <f>ROUND(C16,0)</f>
        <v>36132</v>
      </c>
      <c r="E16" s="18"/>
    </row>
    <row r="17" spans="1:11" ht="35.1" customHeight="1" x14ac:dyDescent="0.2">
      <c r="A17" s="14">
        <v>5</v>
      </c>
      <c r="B17" s="35" t="s">
        <v>22</v>
      </c>
      <c r="C17" s="17">
        <f>78344*C29</f>
        <v>80694.320000000007</v>
      </c>
      <c r="D17" s="17">
        <f>ROUND(C17,0)</f>
        <v>80694</v>
      </c>
      <c r="E17" s="18"/>
    </row>
    <row r="18" spans="1:11" ht="35.1" customHeight="1" x14ac:dyDescent="0.2">
      <c r="A18" s="14">
        <v>6</v>
      </c>
      <c r="B18" s="35" t="s">
        <v>30</v>
      </c>
      <c r="C18" s="17">
        <f>23387*C29</f>
        <v>24088.61</v>
      </c>
      <c r="D18" s="17">
        <f>ROUND(C18,0)</f>
        <v>24089</v>
      </c>
      <c r="E18" s="18"/>
    </row>
    <row r="19" spans="1:11" ht="35.1" customHeight="1" x14ac:dyDescent="0.2">
      <c r="B19" s="20" t="s">
        <v>54</v>
      </c>
      <c r="C19" s="20"/>
      <c r="D19" s="48">
        <f>SUM(D16:D18,D13:D14)</f>
        <v>156572</v>
      </c>
      <c r="K19" s="36"/>
    </row>
    <row r="20" spans="1:11" ht="39.950000000000003" customHeight="1" x14ac:dyDescent="0.2">
      <c r="B20" s="196" t="s">
        <v>232</v>
      </c>
      <c r="C20" s="49">
        <f>5400*C29</f>
        <v>5562</v>
      </c>
      <c r="D20" s="49">
        <f>ROUND(C20,0)</f>
        <v>5562</v>
      </c>
    </row>
    <row r="21" spans="1:11" ht="20.100000000000001" customHeight="1" x14ac:dyDescent="0.2">
      <c r="B21" s="33" t="s">
        <v>10</v>
      </c>
      <c r="C21" s="41"/>
      <c r="D21" s="42" t="s">
        <v>40</v>
      </c>
    </row>
    <row r="22" spans="1:11" ht="20.100000000000001" customHeight="1" x14ac:dyDescent="0.2">
      <c r="B22" s="24"/>
      <c r="C22" s="24"/>
    </row>
    <row r="23" spans="1:11" ht="20.100000000000001" customHeight="1" x14ac:dyDescent="0.2">
      <c r="B23" s="15" t="s">
        <v>11</v>
      </c>
      <c r="C23" s="22"/>
      <c r="D23" s="23" t="s">
        <v>40</v>
      </c>
    </row>
    <row r="24" spans="1:11" ht="20.100000000000001" customHeight="1" x14ac:dyDescent="0.2">
      <c r="B24" s="25"/>
      <c r="C24" s="25"/>
    </row>
    <row r="25" spans="1:11" ht="42" customHeight="1" x14ac:dyDescent="0.2">
      <c r="B25" s="19" t="s">
        <v>41</v>
      </c>
      <c r="C25" s="24"/>
    </row>
    <row r="26" spans="1:11" hidden="1" x14ac:dyDescent="0.2"/>
    <row r="27" spans="1:11" hidden="1" x14ac:dyDescent="0.2"/>
    <row r="28" spans="1:11" hidden="1" x14ac:dyDescent="0.2"/>
    <row r="29" spans="1:11" ht="25.5" hidden="1" x14ac:dyDescent="0.2">
      <c r="B29" s="26" t="s">
        <v>12</v>
      </c>
      <c r="C29" s="27">
        <v>1.03</v>
      </c>
    </row>
    <row r="30" spans="1:11" customFormat="1" hidden="1" x14ac:dyDescent="0.2">
      <c r="A30" s="1"/>
      <c r="B30" s="24"/>
      <c r="C30" s="27"/>
      <c r="D30" s="1"/>
      <c r="E30" s="1"/>
      <c r="F30" s="1"/>
      <c r="G30" s="1"/>
      <c r="H30" s="1"/>
      <c r="I30" s="1"/>
      <c r="J30" s="1"/>
      <c r="K30" s="1"/>
    </row>
    <row r="31" spans="1:11" hidden="1" x14ac:dyDescent="0.2">
      <c r="B31" s="24"/>
      <c r="C31" s="27"/>
    </row>
    <row r="32" spans="1:11" hidden="1" x14ac:dyDescent="0.2">
      <c r="B32" s="24"/>
      <c r="C32" s="27"/>
    </row>
    <row r="33" spans="2:3" hidden="1" x14ac:dyDescent="0.2">
      <c r="B33" s="24"/>
      <c r="C33" s="27"/>
    </row>
    <row r="34" spans="2:3" x14ac:dyDescent="0.2">
      <c r="B34" s="24"/>
      <c r="C34" s="27"/>
    </row>
    <row r="35" spans="2:3" x14ac:dyDescent="0.2">
      <c r="B35" s="24"/>
      <c r="C35" s="27"/>
    </row>
    <row r="36" spans="2:3" x14ac:dyDescent="0.2">
      <c r="B36" s="24"/>
      <c r="C36" s="27"/>
    </row>
  </sheetData>
  <mergeCells count="5">
    <mergeCell ref="A2:K2"/>
    <mergeCell ref="A3:K3"/>
    <mergeCell ref="A4:K4"/>
    <mergeCell ref="A5:K5"/>
    <mergeCell ref="E10:K10"/>
  </mergeCells>
  <pageMargins left="0.25" right="0.25" top="0.25" bottom="0.25" header="0.25" footer="0.25"/>
  <pageSetup scale="68" fitToWidth="0" fitToHeight="0"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6" zoomScaleNormal="100" workbookViewId="0">
      <selection activeCell="A12" sqref="A12:XFD13"/>
    </sheetView>
  </sheetViews>
  <sheetFormatPr defaultColWidth="9" defaultRowHeight="12.75" x14ac:dyDescent="0.2"/>
  <cols>
    <col min="1" max="1" width="2.875" style="1" customWidth="1"/>
    <col min="2" max="2" width="38.875" style="1" customWidth="1"/>
    <col min="3" max="3" width="5.875" style="1" hidden="1" customWidth="1"/>
    <col min="4" max="4" width="20.625" style="1" customWidth="1"/>
    <col min="5" max="6" width="18.625" style="1" customWidth="1"/>
    <col min="7" max="8" width="12.625" style="1" customWidth="1"/>
    <col min="9" max="9" width="17.625" style="1" customWidth="1"/>
    <col min="10" max="10" width="7.625" style="1" customWidth="1"/>
    <col min="11" max="11" width="24.25" style="1" customWidth="1"/>
    <col min="12" max="12" width="9" style="1" customWidth="1"/>
    <col min="13" max="16384" width="9" style="1"/>
  </cols>
  <sheetData>
    <row r="1" spans="1:11" ht="3" customHeight="1" x14ac:dyDescent="0.2"/>
    <row r="2" spans="1:11" s="3" customFormat="1" ht="19.899999999999999" customHeight="1" x14ac:dyDescent="0.25">
      <c r="A2" s="222" t="s">
        <v>32</v>
      </c>
      <c r="B2" s="222"/>
      <c r="C2" s="222"/>
      <c r="D2" s="222"/>
      <c r="E2" s="222"/>
      <c r="F2" s="222"/>
      <c r="G2" s="222"/>
      <c r="H2" s="222"/>
      <c r="I2" s="222"/>
      <c r="J2" s="222"/>
      <c r="K2" s="222"/>
    </row>
    <row r="3" spans="1:11" s="3" customFormat="1" ht="19.899999999999999" customHeight="1" x14ac:dyDescent="0.25">
      <c r="A3" s="227" t="s">
        <v>55</v>
      </c>
      <c r="B3" s="227"/>
      <c r="C3" s="227"/>
      <c r="D3" s="227"/>
      <c r="E3" s="227"/>
      <c r="F3" s="227"/>
      <c r="G3" s="227"/>
      <c r="H3" s="227"/>
      <c r="I3" s="227"/>
      <c r="J3" s="227"/>
      <c r="K3" s="227"/>
    </row>
    <row r="4" spans="1:11" s="3" customFormat="1" ht="19.899999999999999" customHeight="1" x14ac:dyDescent="0.25">
      <c r="A4" s="227" t="s">
        <v>1</v>
      </c>
      <c r="B4" s="227"/>
      <c r="C4" s="227"/>
      <c r="D4" s="227"/>
      <c r="E4" s="227"/>
      <c r="F4" s="227"/>
      <c r="G4" s="227"/>
      <c r="H4" s="227"/>
      <c r="I4" s="227"/>
      <c r="J4" s="227"/>
      <c r="K4" s="227"/>
    </row>
    <row r="5" spans="1:11" s="3" customFormat="1" ht="19.899999999999999" customHeight="1" x14ac:dyDescent="0.25">
      <c r="A5" s="222" t="s">
        <v>34</v>
      </c>
      <c r="B5" s="222"/>
      <c r="C5" s="222"/>
      <c r="D5" s="222"/>
      <c r="E5" s="222"/>
      <c r="F5" s="222"/>
      <c r="G5" s="222"/>
      <c r="H5" s="222"/>
      <c r="I5" s="222"/>
      <c r="J5" s="222"/>
      <c r="K5" s="222"/>
    </row>
    <row r="6" spans="1:11" s="3" customFormat="1" ht="17.45" customHeight="1" x14ac:dyDescent="0.25">
      <c r="A6" s="2"/>
      <c r="B6" s="2"/>
      <c r="C6" s="2"/>
      <c r="D6" s="2"/>
      <c r="E6" s="2"/>
      <c r="F6" s="2"/>
      <c r="G6" s="2"/>
      <c r="H6" s="2"/>
      <c r="I6" s="2"/>
      <c r="J6" s="2"/>
      <c r="K6" s="2"/>
    </row>
    <row r="7" spans="1:11" s="4" customFormat="1" ht="15.6" customHeight="1" x14ac:dyDescent="0.25">
      <c r="B7" s="5"/>
      <c r="C7" s="5"/>
      <c r="D7" s="6"/>
      <c r="E7" s="6"/>
      <c r="F7" s="6"/>
      <c r="G7" s="6"/>
    </row>
    <row r="8" spans="1:11" ht="18.600000000000001" customHeight="1" x14ac:dyDescent="0.2">
      <c r="B8" s="7"/>
      <c r="C8" s="7"/>
      <c r="D8" s="8"/>
    </row>
    <row r="9" spans="1:11" ht="13.5" customHeight="1" x14ac:dyDescent="0.2">
      <c r="D9" s="9" t="s">
        <v>227</v>
      </c>
    </row>
    <row r="10" spans="1:11" ht="21.6" customHeight="1" x14ac:dyDescent="0.2">
      <c r="B10" s="10"/>
      <c r="C10" s="10"/>
      <c r="D10" s="50" t="s">
        <v>4</v>
      </c>
      <c r="E10" s="232"/>
      <c r="F10" s="232"/>
      <c r="G10" s="232"/>
      <c r="H10" s="232"/>
      <c r="I10" s="232"/>
      <c r="J10" s="232"/>
      <c r="K10" s="232"/>
    </row>
    <row r="11" spans="1:11" ht="24.95" customHeight="1" x14ac:dyDescent="0.2">
      <c r="B11" s="12" t="s">
        <v>5</v>
      </c>
      <c r="C11" s="30" t="s">
        <v>6</v>
      </c>
      <c r="D11" s="12" t="s">
        <v>7</v>
      </c>
      <c r="E11" s="161"/>
      <c r="F11" s="161"/>
      <c r="G11" s="161"/>
      <c r="H11" s="161"/>
      <c r="I11" s="162"/>
      <c r="J11" s="162"/>
      <c r="K11" s="162"/>
    </row>
    <row r="12" spans="1:11" ht="15" customHeight="1" x14ac:dyDescent="0.2">
      <c r="A12" s="14">
        <v>1</v>
      </c>
      <c r="B12" s="29" t="s">
        <v>8</v>
      </c>
      <c r="C12" s="151">
        <f>9890*C28</f>
        <v>10186.700000000001</v>
      </c>
      <c r="D12" s="151">
        <f>ROUND(C12,0)</f>
        <v>10187</v>
      </c>
    </row>
    <row r="13" spans="1:11" ht="15" customHeight="1" x14ac:dyDescent="0.2">
      <c r="A13" s="14">
        <v>2</v>
      </c>
      <c r="B13" s="29" t="s">
        <v>21</v>
      </c>
      <c r="C13" s="151">
        <f>90567*C28</f>
        <v>93284.010000000009</v>
      </c>
      <c r="D13" s="151">
        <f>ROUND(C13,0)</f>
        <v>93284</v>
      </c>
    </row>
    <row r="14" spans="1:11" ht="45" customHeight="1" x14ac:dyDescent="0.2">
      <c r="A14" s="14">
        <v>3</v>
      </c>
      <c r="B14" s="35" t="s">
        <v>22</v>
      </c>
      <c r="C14" s="151">
        <f>67665*C28</f>
        <v>69694.95</v>
      </c>
      <c r="D14" s="151">
        <f>ROUND(C14,0)</f>
        <v>69695</v>
      </c>
    </row>
    <row r="15" spans="1:11" ht="45.75" customHeight="1" x14ac:dyDescent="0.2">
      <c r="A15" s="14">
        <v>4</v>
      </c>
      <c r="B15" s="35" t="s">
        <v>30</v>
      </c>
      <c r="C15" s="151">
        <f>27587*C28</f>
        <v>28414.61</v>
      </c>
      <c r="D15" s="151">
        <f>ROUND(C15,0)</f>
        <v>28415</v>
      </c>
    </row>
    <row r="16" spans="1:11" ht="29.25" customHeight="1" x14ac:dyDescent="0.2">
      <c r="B16" s="20" t="s">
        <v>57</v>
      </c>
      <c r="C16" s="20"/>
      <c r="D16" s="37">
        <f>SUM(D12:D15)</f>
        <v>201581</v>
      </c>
      <c r="K16" s="36"/>
    </row>
    <row r="17" spans="1:11" ht="15.6" hidden="1" customHeight="1" x14ac:dyDescent="0.2">
      <c r="B17" s="20"/>
      <c r="C17" s="20"/>
      <c r="D17" s="51"/>
      <c r="K17" s="36"/>
    </row>
    <row r="18" spans="1:11" ht="26.25" customHeight="1" x14ac:dyDescent="0.2">
      <c r="A18" s="15">
        <v>9</v>
      </c>
      <c r="B18" s="52" t="s">
        <v>58</v>
      </c>
      <c r="C18" s="52"/>
      <c r="D18" s="48" t="s">
        <v>59</v>
      </c>
      <c r="K18" s="36"/>
    </row>
    <row r="19" spans="1:11" ht="16.149999999999999" customHeight="1" x14ac:dyDescent="0.2">
      <c r="D19" s="10"/>
    </row>
    <row r="20" spans="1:11" ht="20.100000000000001" customHeight="1" x14ac:dyDescent="0.2">
      <c r="B20" s="15" t="s">
        <v>10</v>
      </c>
      <c r="C20" s="22"/>
      <c r="D20" s="23" t="s">
        <v>40</v>
      </c>
    </row>
    <row r="21" spans="1:11" ht="12" customHeight="1" x14ac:dyDescent="0.2">
      <c r="B21" s="24"/>
      <c r="C21" s="24"/>
    </row>
    <row r="22" spans="1:11" ht="20.100000000000001" customHeight="1" x14ac:dyDescent="0.2">
      <c r="B22" s="15" t="s">
        <v>11</v>
      </c>
      <c r="C22" s="22"/>
      <c r="D22" s="23" t="s">
        <v>40</v>
      </c>
    </row>
    <row r="23" spans="1:11" ht="10.5" customHeight="1" x14ac:dyDescent="0.2">
      <c r="B23" s="25"/>
      <c r="C23" s="25"/>
    </row>
    <row r="24" spans="1:11" ht="81" customHeight="1" x14ac:dyDescent="0.2">
      <c r="B24" s="19" t="s">
        <v>60</v>
      </c>
      <c r="C24" s="19"/>
      <c r="D24" s="19" t="s">
        <v>61</v>
      </c>
    </row>
    <row r="26" spans="1:11" customFormat="1" ht="79.900000000000006" customHeight="1" x14ac:dyDescent="0.2">
      <c r="A26" s="1"/>
      <c r="B26" s="228" t="s">
        <v>62</v>
      </c>
      <c r="C26" s="229"/>
      <c r="D26" s="230"/>
      <c r="E26" s="231"/>
      <c r="F26" s="1"/>
      <c r="G26" s="1"/>
      <c r="H26" s="1"/>
      <c r="I26" s="1"/>
      <c r="J26" s="1"/>
      <c r="K26" s="1"/>
    </row>
    <row r="27" spans="1:11" customFormat="1" ht="136.5" hidden="1" customHeight="1" x14ac:dyDescent="0.2">
      <c r="A27" s="1"/>
      <c r="B27" s="24"/>
      <c r="C27" s="24"/>
      <c r="D27" s="1"/>
      <c r="E27" s="1"/>
      <c r="F27" s="1"/>
      <c r="G27" s="1"/>
      <c r="H27" s="1"/>
      <c r="I27" s="1"/>
      <c r="J27" s="1"/>
      <c r="K27" s="1"/>
    </row>
    <row r="28" spans="1:11" ht="25.5" hidden="1" x14ac:dyDescent="0.2">
      <c r="B28" s="26" t="s">
        <v>12</v>
      </c>
      <c r="C28" s="27">
        <v>1.03</v>
      </c>
    </row>
    <row r="29" spans="1:11" customFormat="1" ht="35.450000000000003" customHeight="1" x14ac:dyDescent="0.2">
      <c r="A29" s="1"/>
      <c r="B29" s="24"/>
      <c r="C29" s="27"/>
      <c r="D29" s="1"/>
      <c r="E29" s="1"/>
      <c r="F29" s="1"/>
      <c r="G29" s="1"/>
      <c r="H29" s="1"/>
      <c r="I29" s="1"/>
      <c r="J29" s="1"/>
      <c r="K29" s="1"/>
    </row>
    <row r="30" spans="1:11" x14ac:dyDescent="0.2">
      <c r="B30" s="24"/>
      <c r="C30" s="27"/>
    </row>
    <row r="31" spans="1:11" x14ac:dyDescent="0.2">
      <c r="B31" s="24"/>
      <c r="C31" s="27"/>
    </row>
    <row r="32" spans="1:11" x14ac:dyDescent="0.2">
      <c r="B32" s="24"/>
      <c r="C32" s="27"/>
    </row>
    <row r="33" spans="2:3" x14ac:dyDescent="0.2">
      <c r="B33" s="24"/>
      <c r="C33" s="27"/>
    </row>
    <row r="34" spans="2:3" x14ac:dyDescent="0.2">
      <c r="B34" s="24"/>
      <c r="C34" s="27"/>
    </row>
    <row r="35" spans="2:3" x14ac:dyDescent="0.2">
      <c r="B35" s="24"/>
      <c r="C35" s="27"/>
    </row>
  </sheetData>
  <mergeCells count="6">
    <mergeCell ref="B26:E26"/>
    <mergeCell ref="A2:K2"/>
    <mergeCell ref="A3:K3"/>
    <mergeCell ref="A4:K4"/>
    <mergeCell ref="A5:K5"/>
    <mergeCell ref="E10:K10"/>
  </mergeCells>
  <pageMargins left="5.000000000000001E-2" right="5.000000000000001E-2" top="0.25" bottom="0.25" header="0.25" footer="0.25"/>
  <pageSetup scale="73" fitToWidth="0" fitToHeight="0" pageOrder="overThenDown"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53</vt:i4>
      </vt:variant>
    </vt:vector>
  </HeadingPairs>
  <TitlesOfParts>
    <vt:vector size="107" baseType="lpstr">
      <vt:lpstr>2014_BGSMC_KIDNEY CADAVERIC</vt:lpstr>
      <vt:lpstr>2014_BGSMC_KIDNEY_LIVING</vt:lpstr>
      <vt:lpstr>2014_BGSMC_PANCREAS_AFTER_KDY</vt:lpstr>
      <vt:lpstr>2014_BGSMC_SIM__KIDNEY-PANCREAS</vt:lpstr>
      <vt:lpstr>2014_BGSMC_LIVER</vt:lpstr>
      <vt:lpstr>2014_MAYO_BMT_AUT_ADULT</vt:lpstr>
      <vt:lpstr>2014_MAYO_BMT_ALO_REL_ADULT_</vt:lpstr>
      <vt:lpstr>2014_MAYO_BMT_ALLO_UNR</vt:lpstr>
      <vt:lpstr>2014_MAYO_PHX_HEART</vt:lpstr>
      <vt:lpstr>2014_MAYO_SIMUL_CADV LIV KDY</vt:lpstr>
      <vt:lpstr>2014_MAYO_PHX_LIVER_ADULT</vt:lpstr>
      <vt:lpstr>2014_MAYO_SIMUL_KDY_PANCREAS</vt:lpstr>
      <vt:lpstr>2014_MAYO_PANCREAS_after_KDY</vt:lpstr>
      <vt:lpstr>2014_MAYO_KIDNEY_LIVING</vt:lpstr>
      <vt:lpstr>2014_MAYO_KIDNEY_CADAVERIC</vt:lpstr>
      <vt:lpstr>2014_PCH_KIDNEY_LIVING</vt:lpstr>
      <vt:lpstr>2014_PCH_KIDNEY_CADAVERIC</vt:lpstr>
      <vt:lpstr>2014_PCH_PED_BMT_AUTO</vt:lpstr>
      <vt:lpstr>2014_PCH_PED_BMT_ALLO_RELATED</vt:lpstr>
      <vt:lpstr>2014_PCH_PED_BMT_ALLO_UNREL_</vt:lpstr>
      <vt:lpstr>2014_PCH_PEDIATRIC_HEART</vt:lpstr>
      <vt:lpstr>2014_PCH_PEDIATRIC_LIVER_</vt:lpstr>
      <vt:lpstr>2014_SCTHLTH_CARE-SHEA_BMT_AUTO</vt:lpstr>
      <vt:lpstr>2014SCTHLTHCARE-SHEA_BMT_ALOREL</vt:lpstr>
      <vt:lpstr>2014SCTH_CARE-SHEA_BMT_ALOUNREL</vt:lpstr>
      <vt:lpstr>2014_ST_JOSEPHS_SINGLE_LUNG</vt:lpstr>
      <vt:lpstr>2014_ST_JOSEPHS_DOUBLE_LUNG</vt:lpstr>
      <vt:lpstr>2014_UCSD(RADY'S)_Living_Kidney</vt:lpstr>
      <vt:lpstr>2014_UCSD_(RADY)_CADAVERIC_KDNY</vt:lpstr>
      <vt:lpstr>2014_UCSD_(RADY)_PED CADV LIV _</vt:lpstr>
      <vt:lpstr>2014_UCSD_(RADY)_PED_AUTO_BMT</vt:lpstr>
      <vt:lpstr>2014_UCSD(RADY)__PED_ALLO_REL</vt:lpstr>
      <vt:lpstr>2014_UCSD(RADY)_PEDS_ALLO_UNREL</vt:lpstr>
      <vt:lpstr>2014_UCSD_(RADY)_PED_LIVING_LIV</vt:lpstr>
      <vt:lpstr>2014_UCSF_PED_ALLO_UNR_MUDSCID_</vt:lpstr>
      <vt:lpstr>2014_UCSF_PED_ALLO_REL_SCIDS_</vt:lpstr>
      <vt:lpstr>2014_UMC_BMT_AUTO</vt:lpstr>
      <vt:lpstr>2014_UMC_BMT_ALLO_RELATED</vt:lpstr>
      <vt:lpstr>2014_UMC_BMT_ALLO_UNRELATED</vt:lpstr>
      <vt:lpstr>2014_UMC_SINGLE_LUNG</vt:lpstr>
      <vt:lpstr>2014_UMC_DOUBLE_LUNG</vt:lpstr>
      <vt:lpstr>2014_UMC_HEART</vt:lpstr>
      <vt:lpstr>2014_UMC_HEART-LUNG</vt:lpstr>
      <vt:lpstr>2014_UMC_KIDNEY_CADAVERIC</vt:lpstr>
      <vt:lpstr>2014_UMC_KIDNEY_LIVING</vt:lpstr>
      <vt:lpstr>2014_UMC_PANCREAS_AFTER_KDY</vt:lpstr>
      <vt:lpstr>2014_UMC_SIMUL_PANCREAS_KIDNEY_</vt:lpstr>
      <vt:lpstr>2014_UMC_LIVER</vt:lpstr>
      <vt:lpstr>2014 UMC CADV SIM LIV KDY</vt:lpstr>
      <vt:lpstr>2014_UMC_Ped_Cad_Small_Bowel</vt:lpstr>
      <vt:lpstr>2014_UMC_Ped_Liv_Small_Bowel_</vt:lpstr>
      <vt:lpstr>2014_UMC_Ped_Multi-visceral_Cad</vt:lpstr>
      <vt:lpstr>2014_UMC_Ped_Multi-visceral_Liv</vt:lpstr>
      <vt:lpstr>Sheet1</vt:lpstr>
      <vt:lpstr>'2014 UMC CADV SIM LIV KDY'!Print_Area</vt:lpstr>
      <vt:lpstr>'2014_BGSMC_KIDNEY CADAVERIC'!Print_Area</vt:lpstr>
      <vt:lpstr>'2014_BGSMC_KIDNEY_LIVING'!Print_Area</vt:lpstr>
      <vt:lpstr>'2014_BGSMC_LIVER'!Print_Area</vt:lpstr>
      <vt:lpstr>'2014_BGSMC_PANCREAS_AFTER_KDY'!Print_Area</vt:lpstr>
      <vt:lpstr>'2014_BGSMC_SIM__KIDNEY-PANCREAS'!Print_Area</vt:lpstr>
      <vt:lpstr>'2014_MAYO_BMT_ALLO_UNR'!Print_Area</vt:lpstr>
      <vt:lpstr>'2014_MAYO_BMT_ALO_REL_ADULT_'!Print_Area</vt:lpstr>
      <vt:lpstr>'2014_MAYO_BMT_AUT_ADULT'!Print_Area</vt:lpstr>
      <vt:lpstr>'2014_MAYO_KIDNEY_CADAVERIC'!Print_Area</vt:lpstr>
      <vt:lpstr>'2014_MAYO_KIDNEY_LIVING'!Print_Area</vt:lpstr>
      <vt:lpstr>'2014_MAYO_PANCREAS_after_KDY'!Print_Area</vt:lpstr>
      <vt:lpstr>'2014_MAYO_PHX_HEART'!Print_Area</vt:lpstr>
      <vt:lpstr>'2014_MAYO_PHX_LIVER_ADULT'!Print_Area</vt:lpstr>
      <vt:lpstr>'2014_MAYO_SIMUL_CADV LIV KDY'!Print_Area</vt:lpstr>
      <vt:lpstr>'2014_MAYO_SIMUL_KDY_PANCREAS'!Print_Area</vt:lpstr>
      <vt:lpstr>'2014_PCH_KIDNEY_CADAVERIC'!Print_Area</vt:lpstr>
      <vt:lpstr>'2014_PCH_KIDNEY_LIVING'!Print_Area</vt:lpstr>
      <vt:lpstr>'2014_PCH_PED_BMT_ALLO_RELATED'!Print_Area</vt:lpstr>
      <vt:lpstr>'2014_PCH_PED_BMT_ALLO_UNREL_'!Print_Area</vt:lpstr>
      <vt:lpstr>'2014_PCH_PED_BMT_AUTO'!Print_Area</vt:lpstr>
      <vt:lpstr>'2014_PCH_PEDIATRIC_HEART'!Print_Area</vt:lpstr>
      <vt:lpstr>'2014_PCH_PEDIATRIC_LIVER_'!Print_Area</vt:lpstr>
      <vt:lpstr>'2014_SCTHLTH_CARE-SHEA_BMT_AUTO'!Print_Area</vt:lpstr>
      <vt:lpstr>'2014_ST_JOSEPHS_DOUBLE_LUNG'!Print_Area</vt:lpstr>
      <vt:lpstr>'2014_ST_JOSEPHS_SINGLE_LUNG'!Print_Area</vt:lpstr>
      <vt:lpstr>'2014_UCSD(RADY)__PED_ALLO_REL'!Print_Area</vt:lpstr>
      <vt:lpstr>'2014_UCSD(RADY)_PEDS_ALLO_UNREL'!Print_Area</vt:lpstr>
      <vt:lpstr>'2014_UCSD(RADY''S)_Living_Kidney'!Print_Area</vt:lpstr>
      <vt:lpstr>'2014_UCSD_(RADY)_CADAVERIC_KDNY'!Print_Area</vt:lpstr>
      <vt:lpstr>'2014_UCSD_(RADY)_PED CADV LIV _'!Print_Area</vt:lpstr>
      <vt:lpstr>'2014_UCSD_(RADY)_PED_AUTO_BMT'!Print_Area</vt:lpstr>
      <vt:lpstr>'2014_UCSD_(RADY)_PED_LIVING_LIV'!Print_Area</vt:lpstr>
      <vt:lpstr>'2014_UCSF_PED_ALLO_REL_SCIDS_'!Print_Area</vt:lpstr>
      <vt:lpstr>'2014_UCSF_PED_ALLO_UNR_MUDSCID_'!Print_Area</vt:lpstr>
      <vt:lpstr>'2014_UMC_BMT_ALLO_RELATED'!Print_Area</vt:lpstr>
      <vt:lpstr>'2014_UMC_BMT_ALLO_UNRELATED'!Print_Area</vt:lpstr>
      <vt:lpstr>'2014_UMC_BMT_AUTO'!Print_Area</vt:lpstr>
      <vt:lpstr>'2014_UMC_DOUBLE_LUNG'!Print_Area</vt:lpstr>
      <vt:lpstr>'2014_UMC_HEART'!Print_Area</vt:lpstr>
      <vt:lpstr>'2014_UMC_HEART-LUNG'!Print_Area</vt:lpstr>
      <vt:lpstr>'2014_UMC_KIDNEY_CADAVERIC'!Print_Area</vt:lpstr>
      <vt:lpstr>'2014_UMC_KIDNEY_LIVING'!Print_Area</vt:lpstr>
      <vt:lpstr>'2014_UMC_LIVER'!Print_Area</vt:lpstr>
      <vt:lpstr>'2014_UMC_PANCREAS_AFTER_KDY'!Print_Area</vt:lpstr>
      <vt:lpstr>'2014_UMC_Ped_Cad_Small_Bowel'!Print_Area</vt:lpstr>
      <vt:lpstr>'2014_UMC_Ped_Liv_Small_Bowel_'!Print_Area</vt:lpstr>
      <vt:lpstr>'2014_UMC_Ped_Multi-visceral_Cad'!Print_Area</vt:lpstr>
      <vt:lpstr>'2014_UMC_Ped_Multi-visceral_Liv'!Print_Area</vt:lpstr>
      <vt:lpstr>'2014_UMC_SIMUL_PANCREAS_KIDNEY_'!Print_Area</vt:lpstr>
      <vt:lpstr>'2014_UMC_SINGLE_LUNG'!Print_Area</vt:lpstr>
      <vt:lpstr>'2014SCTH_CARE-SHEA_BMT_ALOUNREL'!Print_Area</vt:lpstr>
      <vt:lpstr>'2014SCTHLTHCARE-SHEA_BMT_ALOREL'!Print_Area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McGhie, Travis</cp:lastModifiedBy>
  <cp:lastPrinted>2013-10-16T20:23:10Z</cp:lastPrinted>
  <dcterms:created xsi:type="dcterms:W3CDTF">2010-11-04T19:28:19Z</dcterms:created>
  <dcterms:modified xsi:type="dcterms:W3CDTF">2014-05-29T15:58:26Z</dcterms:modified>
</cp:coreProperties>
</file>