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Layne\Desktop\BHS\CCE\NT19 Data Supplement\Non-Title XIX XXI Financial Information\"/>
    </mc:Choice>
  </mc:AlternateContent>
  <xr:revisionPtr revIDLastSave="0" documentId="13_ncr:1_{7F7576C6-4ACC-4CA7-93AD-3AC2C8AE906A}" xr6:coauthVersionLast="47" xr6:coauthVersionMax="47" xr10:uidLastSave="{00000000-0000-0000-0000-000000000000}"/>
  <bookViews>
    <workbookView xWindow="-110" yWindow="-110" windowWidth="19420" windowHeight="10420" xr2:uid="{C9E71B92-B19A-4F3F-B7A4-1096301B8C72}"/>
  </bookViews>
  <sheets>
    <sheet name="North GSA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4" i="1" l="1"/>
  <c r="AY11" i="1"/>
  <c r="Z14" i="1"/>
  <c r="Z15" i="1"/>
  <c r="AL89" i="1" l="1"/>
  <c r="AL14" i="1" l="1"/>
  <c r="AL11" i="1"/>
  <c r="N16" i="1" l="1"/>
  <c r="N17" i="1"/>
  <c r="AX85" i="1" l="1"/>
  <c r="AW85" i="1"/>
  <c r="AV85" i="1"/>
  <c r="AT85" i="1"/>
  <c r="AS85" i="1"/>
  <c r="AR85" i="1"/>
  <c r="AQ85" i="1"/>
  <c r="AP85" i="1"/>
  <c r="AO85" i="1"/>
  <c r="AN85" i="1"/>
  <c r="AU84" i="1"/>
  <c r="AU83" i="1"/>
  <c r="AX81" i="1"/>
  <c r="AW81" i="1"/>
  <c r="AV81" i="1"/>
  <c r="AU81" i="1"/>
  <c r="AT81" i="1"/>
  <c r="AS81" i="1"/>
  <c r="AR81" i="1"/>
  <c r="AQ81" i="1"/>
  <c r="AP81" i="1"/>
  <c r="AO81" i="1"/>
  <c r="AN81" i="1"/>
  <c r="AX76" i="1"/>
  <c r="AW76" i="1"/>
  <c r="AV76" i="1"/>
  <c r="AT76" i="1"/>
  <c r="AQ76" i="1"/>
  <c r="AU75" i="1"/>
  <c r="AR75" i="1"/>
  <c r="AN75" i="1"/>
  <c r="AN76" i="1" s="1"/>
  <c r="AU73" i="1"/>
  <c r="AU76" i="1" s="1"/>
  <c r="AS73" i="1"/>
  <c r="AS76" i="1" s="1"/>
  <c r="AR73" i="1"/>
  <c r="AP73" i="1"/>
  <c r="AP76" i="1" s="1"/>
  <c r="AO73" i="1"/>
  <c r="AO76" i="1" s="1"/>
  <c r="AX71" i="1"/>
  <c r="AV71" i="1"/>
  <c r="AT71" i="1"/>
  <c r="AS71" i="1"/>
  <c r="AQ71" i="1"/>
  <c r="AO71" i="1"/>
  <c r="AW70" i="1"/>
  <c r="AU70" i="1"/>
  <c r="AR70" i="1"/>
  <c r="AR71" i="1" s="1"/>
  <c r="AP70" i="1"/>
  <c r="AN70" i="1"/>
  <c r="AU66" i="1"/>
  <c r="AP66" i="1"/>
  <c r="AN66" i="1"/>
  <c r="AP65" i="1"/>
  <c r="AN65" i="1"/>
  <c r="AN63" i="1"/>
  <c r="AW62" i="1"/>
  <c r="AP62" i="1"/>
  <c r="AN62" i="1"/>
  <c r="AN71" i="1" s="1"/>
  <c r="AX59" i="1"/>
  <c r="AV59" i="1"/>
  <c r="AT59" i="1"/>
  <c r="AQ59" i="1"/>
  <c r="AU58" i="1"/>
  <c r="AS58" i="1"/>
  <c r="AR58" i="1"/>
  <c r="AP58" i="1"/>
  <c r="AO58" i="1"/>
  <c r="AN58" i="1"/>
  <c r="AW57" i="1"/>
  <c r="AU57" i="1"/>
  <c r="AS57" i="1"/>
  <c r="AP57" i="1"/>
  <c r="AO57" i="1"/>
  <c r="AN57" i="1"/>
  <c r="AW56" i="1"/>
  <c r="AU56" i="1"/>
  <c r="AS56" i="1"/>
  <c r="AR56" i="1"/>
  <c r="AP56" i="1"/>
  <c r="AO56" i="1"/>
  <c r="AN56" i="1"/>
  <c r="AN59" i="1" s="1"/>
  <c r="AX54" i="1"/>
  <c r="AV54" i="1"/>
  <c r="AT54" i="1"/>
  <c r="AU53" i="1"/>
  <c r="AS53" i="1"/>
  <c r="AR53" i="1"/>
  <c r="AP53" i="1"/>
  <c r="AO53" i="1"/>
  <c r="AN53" i="1"/>
  <c r="AQ54" i="1"/>
  <c r="AU50" i="1"/>
  <c r="AS50" i="1"/>
  <c r="AR50" i="1"/>
  <c r="AO50" i="1"/>
  <c r="AU48" i="1"/>
  <c r="AS48" i="1"/>
  <c r="AR48" i="1"/>
  <c r="AP48" i="1"/>
  <c r="AO48" i="1"/>
  <c r="AN48" i="1"/>
  <c r="AU47" i="1"/>
  <c r="AS47" i="1"/>
  <c r="AR47" i="1"/>
  <c r="AO47" i="1"/>
  <c r="AU46" i="1"/>
  <c r="AS46" i="1"/>
  <c r="AP46" i="1"/>
  <c r="AO46" i="1"/>
  <c r="AN46" i="1"/>
  <c r="AN54" i="1" s="1"/>
  <c r="AW45" i="1"/>
  <c r="AW54" i="1" s="1"/>
  <c r="AU45" i="1"/>
  <c r="AS45" i="1"/>
  <c r="AR45" i="1"/>
  <c r="AP45" i="1"/>
  <c r="AO45" i="1"/>
  <c r="AN45" i="1"/>
  <c r="AX43" i="1"/>
  <c r="AV43" i="1"/>
  <c r="AT43" i="1"/>
  <c r="AQ43" i="1"/>
  <c r="AU41" i="1"/>
  <c r="AP41" i="1"/>
  <c r="AW40" i="1"/>
  <c r="AW43" i="1" s="1"/>
  <c r="AU40" i="1"/>
  <c r="AS40" i="1"/>
  <c r="AR40" i="1"/>
  <c r="AR43" i="1" s="1"/>
  <c r="AP40" i="1"/>
  <c r="AO40" i="1"/>
  <c r="AN40" i="1"/>
  <c r="AN43" i="1" s="1"/>
  <c r="AU39" i="1"/>
  <c r="AU43" i="1" s="1"/>
  <c r="AS39" i="1"/>
  <c r="AP39" i="1"/>
  <c r="AO39" i="1"/>
  <c r="AX37" i="1"/>
  <c r="AW37" i="1"/>
  <c r="AV37" i="1"/>
  <c r="AT37" i="1"/>
  <c r="AQ37" i="1"/>
  <c r="AU36" i="1"/>
  <c r="AS36" i="1"/>
  <c r="AR36" i="1"/>
  <c r="AO36" i="1"/>
  <c r="AU35" i="1"/>
  <c r="AS35" i="1"/>
  <c r="AR35" i="1"/>
  <c r="AO35" i="1"/>
  <c r="AN35" i="1"/>
  <c r="AU33" i="1"/>
  <c r="AS33" i="1"/>
  <c r="AR33" i="1"/>
  <c r="AP33" i="1"/>
  <c r="AP37" i="1" s="1"/>
  <c r="AO33" i="1"/>
  <c r="AO37" i="1" s="1"/>
  <c r="AN33" i="1"/>
  <c r="AX31" i="1"/>
  <c r="AV31" i="1"/>
  <c r="AT31" i="1"/>
  <c r="AQ31" i="1"/>
  <c r="AW29" i="1"/>
  <c r="AU29" i="1"/>
  <c r="AS29" i="1"/>
  <c r="AS31" i="1" s="1"/>
  <c r="AR29" i="1"/>
  <c r="AP29" i="1"/>
  <c r="AO29" i="1"/>
  <c r="AN29" i="1"/>
  <c r="AU28" i="1"/>
  <c r="AR28" i="1"/>
  <c r="AP28" i="1"/>
  <c r="AO28" i="1"/>
  <c r="AN28" i="1"/>
  <c r="AW27" i="1"/>
  <c r="AU27" i="1"/>
  <c r="AR27" i="1"/>
  <c r="AP27" i="1"/>
  <c r="AO27" i="1"/>
  <c r="AN27" i="1"/>
  <c r="AU26" i="1"/>
  <c r="AR26" i="1"/>
  <c r="AP26" i="1"/>
  <c r="AO26" i="1"/>
  <c r="AN26" i="1"/>
  <c r="AX16" i="1"/>
  <c r="AW16" i="1"/>
  <c r="AV16" i="1"/>
  <c r="AU16" i="1"/>
  <c r="AT16" i="1"/>
  <c r="AS16" i="1"/>
  <c r="AR16" i="1"/>
  <c r="AQ16" i="1"/>
  <c r="AP16" i="1"/>
  <c r="AO16" i="1"/>
  <c r="AN16" i="1"/>
  <c r="AO43" i="1" l="1"/>
  <c r="AR59" i="1"/>
  <c r="AO31" i="1"/>
  <c r="AP31" i="1"/>
  <c r="AW31" i="1"/>
  <c r="AU59" i="1"/>
  <c r="AR31" i="1"/>
  <c r="AR76" i="1"/>
  <c r="AS43" i="1"/>
  <c r="AU31" i="1"/>
  <c r="AY16" i="1"/>
  <c r="AO54" i="1"/>
  <c r="AU71" i="1"/>
  <c r="AS59" i="1"/>
  <c r="AR37" i="1"/>
  <c r="AP54" i="1"/>
  <c r="AW59" i="1"/>
  <c r="AO59" i="1"/>
  <c r="AP71" i="1"/>
  <c r="AW71" i="1"/>
  <c r="AS37" i="1"/>
  <c r="AP43" i="1"/>
  <c r="AR54" i="1"/>
  <c r="AU85" i="1"/>
  <c r="AN37" i="1"/>
  <c r="AU54" i="1"/>
  <c r="AN31" i="1"/>
  <c r="AU37" i="1"/>
  <c r="AS54" i="1"/>
  <c r="AP59" i="1"/>
  <c r="AF92" i="1"/>
  <c r="AE92" i="1"/>
  <c r="AD92" i="1"/>
  <c r="AC92" i="1"/>
  <c r="AB92" i="1"/>
  <c r="AK90" i="1"/>
  <c r="AJ90" i="1"/>
  <c r="AI90" i="1"/>
  <c r="AE90" i="1"/>
  <c r="AD90" i="1"/>
  <c r="AB90" i="1"/>
  <c r="AH88" i="1"/>
  <c r="AG88" i="1"/>
  <c r="AF88" i="1"/>
  <c r="AC88" i="1"/>
  <c r="AH87" i="1"/>
  <c r="AH90" i="1" s="1"/>
  <c r="AG87" i="1"/>
  <c r="AG90" i="1" s="1"/>
  <c r="AF87" i="1"/>
  <c r="AF90" i="1" s="1"/>
  <c r="AC87" i="1"/>
  <c r="AC90" i="1" s="1"/>
  <c r="AK85" i="1"/>
  <c r="AJ85" i="1"/>
  <c r="AI85" i="1"/>
  <c r="AG85" i="1"/>
  <c r="AF85" i="1"/>
  <c r="AE85" i="1"/>
  <c r="AD85" i="1"/>
  <c r="AC85" i="1"/>
  <c r="AB85" i="1"/>
  <c r="AH84" i="1"/>
  <c r="AH83" i="1"/>
  <c r="AH85" i="1" s="1"/>
  <c r="AK81" i="1"/>
  <c r="AJ81" i="1"/>
  <c r="AI81" i="1"/>
  <c r="AG81" i="1"/>
  <c r="AF81" i="1"/>
  <c r="AE81" i="1"/>
  <c r="AC81" i="1"/>
  <c r="AB81" i="1"/>
  <c r="AH79" i="1"/>
  <c r="AH81" i="1" s="1"/>
  <c r="AD79" i="1"/>
  <c r="AD81" i="1" s="1"/>
  <c r="AK76" i="1"/>
  <c r="AJ76" i="1"/>
  <c r="AI76" i="1"/>
  <c r="AE76" i="1"/>
  <c r="AH75" i="1"/>
  <c r="AF75" i="1"/>
  <c r="AB75" i="1"/>
  <c r="AH73" i="1"/>
  <c r="AH76" i="1" s="1"/>
  <c r="AG73" i="1"/>
  <c r="AG76" i="1" s="1"/>
  <c r="AF73" i="1"/>
  <c r="AD73" i="1"/>
  <c r="AD76" i="1" s="1"/>
  <c r="AC73" i="1"/>
  <c r="AC76" i="1" s="1"/>
  <c r="AB73" i="1"/>
  <c r="AK71" i="1"/>
  <c r="AI71" i="1"/>
  <c r="AG71" i="1"/>
  <c r="AE71" i="1"/>
  <c r="AC71" i="1"/>
  <c r="AJ70" i="1"/>
  <c r="AH70" i="1"/>
  <c r="AF70" i="1"/>
  <c r="AF71" i="1" s="1"/>
  <c r="AD70" i="1"/>
  <c r="AB70" i="1"/>
  <c r="AH66" i="1"/>
  <c r="AH71" i="1" s="1"/>
  <c r="AD66" i="1"/>
  <c r="AB66" i="1"/>
  <c r="AD65" i="1"/>
  <c r="AB65" i="1"/>
  <c r="AD63" i="1"/>
  <c r="AB63" i="1"/>
  <c r="AJ62" i="1"/>
  <c r="AD62" i="1"/>
  <c r="AB62" i="1"/>
  <c r="AK59" i="1"/>
  <c r="AI59" i="1"/>
  <c r="AF59" i="1"/>
  <c r="AE59" i="1"/>
  <c r="AH58" i="1"/>
  <c r="AG58" i="1"/>
  <c r="AD58" i="1"/>
  <c r="AC58" i="1"/>
  <c r="AB58" i="1"/>
  <c r="AJ57" i="1"/>
  <c r="AH57" i="1"/>
  <c r="AG57" i="1"/>
  <c r="AD57" i="1"/>
  <c r="AD59" i="1" s="1"/>
  <c r="AC57" i="1"/>
  <c r="AB57" i="1"/>
  <c r="AJ56" i="1"/>
  <c r="AH56" i="1"/>
  <c r="AG56" i="1"/>
  <c r="AD56" i="1"/>
  <c r="AC56" i="1"/>
  <c r="AB56" i="1"/>
  <c r="AK54" i="1"/>
  <c r="AI54" i="1"/>
  <c r="AH53" i="1"/>
  <c r="AG53" i="1"/>
  <c r="AF53" i="1"/>
  <c r="AD53" i="1"/>
  <c r="AC53" i="1"/>
  <c r="AB53" i="1"/>
  <c r="AE54" i="1"/>
  <c r="AH50" i="1"/>
  <c r="AG50" i="1"/>
  <c r="AF50" i="1"/>
  <c r="AC50" i="1"/>
  <c r="AH48" i="1"/>
  <c r="AG48" i="1"/>
  <c r="AF48" i="1"/>
  <c r="AD48" i="1"/>
  <c r="AC48" i="1"/>
  <c r="AB48" i="1"/>
  <c r="AH47" i="1"/>
  <c r="AG47" i="1"/>
  <c r="AF47" i="1"/>
  <c r="AC47" i="1"/>
  <c r="AB47" i="1"/>
  <c r="AH46" i="1"/>
  <c r="AG46" i="1"/>
  <c r="AD46" i="1"/>
  <c r="AC46" i="1"/>
  <c r="AB46" i="1"/>
  <c r="AJ45" i="1"/>
  <c r="AJ54" i="1" s="1"/>
  <c r="AH45" i="1"/>
  <c r="AG45" i="1"/>
  <c r="AF45" i="1"/>
  <c r="AD45" i="1"/>
  <c r="AC45" i="1"/>
  <c r="AB45" i="1"/>
  <c r="AK43" i="1"/>
  <c r="AI43" i="1"/>
  <c r="AE43" i="1"/>
  <c r="AH41" i="1"/>
  <c r="AJ40" i="1"/>
  <c r="AJ43" i="1" s="1"/>
  <c r="AH40" i="1"/>
  <c r="AG40" i="1"/>
  <c r="AF40" i="1"/>
  <c r="AF43" i="1" s="1"/>
  <c r="AD40" i="1"/>
  <c r="AC40" i="1"/>
  <c r="AB40" i="1"/>
  <c r="AB43" i="1" s="1"/>
  <c r="AH39" i="1"/>
  <c r="AG39" i="1"/>
  <c r="AG43" i="1" s="1"/>
  <c r="AD39" i="1"/>
  <c r="AD43" i="1" s="1"/>
  <c r="AC39" i="1"/>
  <c r="AK37" i="1"/>
  <c r="AJ37" i="1"/>
  <c r="AI37" i="1"/>
  <c r="AE37" i="1"/>
  <c r="AH36" i="1"/>
  <c r="AG36" i="1"/>
  <c r="AF36" i="1"/>
  <c r="AD36" i="1"/>
  <c r="AC36" i="1"/>
  <c r="AH35" i="1"/>
  <c r="AG35" i="1"/>
  <c r="AF35" i="1"/>
  <c r="AC35" i="1"/>
  <c r="AB35" i="1"/>
  <c r="AH33" i="1"/>
  <c r="AG33" i="1"/>
  <c r="AF33" i="1"/>
  <c r="AF37" i="1" s="1"/>
  <c r="AD33" i="1"/>
  <c r="AC33" i="1"/>
  <c r="AB33" i="1"/>
  <c r="AK31" i="1"/>
  <c r="AI31" i="1"/>
  <c r="AE31" i="1"/>
  <c r="AD30" i="1"/>
  <c r="AJ29" i="1"/>
  <c r="AJ31" i="1" s="1"/>
  <c r="AH29" i="1"/>
  <c r="AG29" i="1"/>
  <c r="AG31" i="1" s="1"/>
  <c r="AF29" i="1"/>
  <c r="AD29" i="1"/>
  <c r="AC29" i="1"/>
  <c r="AB29" i="1"/>
  <c r="AH28" i="1"/>
  <c r="AF28" i="1"/>
  <c r="AD28" i="1"/>
  <c r="AC28" i="1"/>
  <c r="AB28" i="1"/>
  <c r="AH27" i="1"/>
  <c r="AF27" i="1"/>
  <c r="AD27" i="1"/>
  <c r="AC27" i="1"/>
  <c r="AB27" i="1"/>
  <c r="AH26" i="1"/>
  <c r="AF26" i="1"/>
  <c r="AD26" i="1"/>
  <c r="AC26" i="1"/>
  <c r="AB26" i="1"/>
  <c r="AL16" i="1"/>
  <c r="AH43" i="1" l="1"/>
  <c r="AJ59" i="1"/>
  <c r="AB37" i="1"/>
  <c r="AF54" i="1"/>
  <c r="AJ71" i="1"/>
  <c r="AC37" i="1"/>
  <c r="AG37" i="1"/>
  <c r="AC43" i="1"/>
  <c r="AG54" i="1"/>
  <c r="AB71" i="1"/>
  <c r="AH31" i="1"/>
  <c r="AD37" i="1"/>
  <c r="AC59" i="1"/>
  <c r="AH37" i="1"/>
  <c r="AH54" i="1"/>
  <c r="AB31" i="1"/>
  <c r="AC31" i="1"/>
  <c r="AB76" i="1"/>
  <c r="AD31" i="1"/>
  <c r="AB54" i="1"/>
  <c r="AG59" i="1"/>
  <c r="AC54" i="1"/>
  <c r="AH59" i="1"/>
  <c r="AB59" i="1"/>
  <c r="AD71" i="1"/>
  <c r="AF31" i="1"/>
  <c r="AD54" i="1"/>
  <c r="AF76" i="1"/>
  <c r="V88" i="1"/>
  <c r="U88" i="1"/>
  <c r="T88" i="1"/>
  <c r="Q88" i="1"/>
  <c r="V87" i="1"/>
  <c r="U87" i="1"/>
  <c r="T87" i="1"/>
  <c r="Q87" i="1"/>
  <c r="Y85" i="1"/>
  <c r="X85" i="1"/>
  <c r="W85" i="1"/>
  <c r="U85" i="1"/>
  <c r="T85" i="1"/>
  <c r="S85" i="1"/>
  <c r="R85" i="1"/>
  <c r="Q85" i="1"/>
  <c r="P85" i="1"/>
  <c r="V84" i="1"/>
  <c r="V83" i="1"/>
  <c r="V85" i="1" s="1"/>
  <c r="Y81" i="1"/>
  <c r="X81" i="1"/>
  <c r="W81" i="1"/>
  <c r="V81" i="1"/>
  <c r="U81" i="1"/>
  <c r="T81" i="1"/>
  <c r="S81" i="1"/>
  <c r="R81" i="1"/>
  <c r="Q81" i="1"/>
  <c r="P81" i="1"/>
  <c r="V79" i="1"/>
  <c r="Y76" i="1"/>
  <c r="X76" i="1"/>
  <c r="W76" i="1"/>
  <c r="S76" i="1"/>
  <c r="P76" i="1"/>
  <c r="V75" i="1"/>
  <c r="T75" i="1"/>
  <c r="T76" i="1" s="1"/>
  <c r="V73" i="1"/>
  <c r="U73" i="1"/>
  <c r="U76" i="1" s="1"/>
  <c r="R73" i="1"/>
  <c r="R76" i="1" s="1"/>
  <c r="Q73" i="1"/>
  <c r="Q76" i="1" s="1"/>
  <c r="Y71" i="1"/>
  <c r="W71" i="1"/>
  <c r="V71" i="1"/>
  <c r="U71" i="1"/>
  <c r="S71" i="1"/>
  <c r="Q71" i="1"/>
  <c r="X70" i="1"/>
  <c r="T70" i="1"/>
  <c r="T71" i="1" s="1"/>
  <c r="R70" i="1"/>
  <c r="P70" i="1"/>
  <c r="R69" i="1"/>
  <c r="R68" i="1"/>
  <c r="V66" i="1"/>
  <c r="R66" i="1"/>
  <c r="P66" i="1"/>
  <c r="R65" i="1"/>
  <c r="P65" i="1"/>
  <c r="R63" i="1"/>
  <c r="P63" i="1"/>
  <c r="X62" i="1"/>
  <c r="R62" i="1"/>
  <c r="P62" i="1"/>
  <c r="Y59" i="1"/>
  <c r="W59" i="1"/>
  <c r="V59" i="1"/>
  <c r="S59" i="1"/>
  <c r="U58" i="1"/>
  <c r="Q58" i="1"/>
  <c r="P58" i="1"/>
  <c r="X57" i="1"/>
  <c r="U57" i="1"/>
  <c r="R57" i="1"/>
  <c r="Q57" i="1"/>
  <c r="P57" i="1"/>
  <c r="X56" i="1"/>
  <c r="U56" i="1"/>
  <c r="T56" i="1"/>
  <c r="T59" i="1" s="1"/>
  <c r="R56" i="1"/>
  <c r="Q56" i="1"/>
  <c r="P56" i="1"/>
  <c r="Y54" i="1"/>
  <c r="W54" i="1"/>
  <c r="S54" i="1"/>
  <c r="V53" i="1"/>
  <c r="U53" i="1"/>
  <c r="T53" i="1"/>
  <c r="R53" i="1"/>
  <c r="Q53" i="1"/>
  <c r="P53" i="1"/>
  <c r="Q51" i="1"/>
  <c r="V50" i="1"/>
  <c r="T50" i="1"/>
  <c r="V48" i="1"/>
  <c r="U48" i="1"/>
  <c r="R48" i="1"/>
  <c r="Q48" i="1"/>
  <c r="P48" i="1"/>
  <c r="V47" i="1"/>
  <c r="U47" i="1"/>
  <c r="T47" i="1"/>
  <c r="Q47" i="1"/>
  <c r="P47" i="1"/>
  <c r="V46" i="1"/>
  <c r="U46" i="1"/>
  <c r="R46" i="1"/>
  <c r="R54" i="1" s="1"/>
  <c r="Q46" i="1"/>
  <c r="P46" i="1"/>
  <c r="X45" i="1"/>
  <c r="X54" i="1" s="1"/>
  <c r="V45" i="1"/>
  <c r="U45" i="1"/>
  <c r="T45" i="1"/>
  <c r="R45" i="1"/>
  <c r="Q45" i="1"/>
  <c r="P45" i="1"/>
  <c r="Y43" i="1"/>
  <c r="X43" i="1"/>
  <c r="W43" i="1"/>
  <c r="S43" i="1"/>
  <c r="V41" i="1"/>
  <c r="V40" i="1"/>
  <c r="U40" i="1"/>
  <c r="T40" i="1"/>
  <c r="T43" i="1" s="1"/>
  <c r="R40" i="1"/>
  <c r="Q40" i="1"/>
  <c r="P40" i="1"/>
  <c r="P43" i="1" s="1"/>
  <c r="V39" i="1"/>
  <c r="U39" i="1"/>
  <c r="R39" i="1"/>
  <c r="Q39" i="1"/>
  <c r="Q43" i="1" s="1"/>
  <c r="Y37" i="1"/>
  <c r="X37" i="1"/>
  <c r="W37" i="1"/>
  <c r="S37" i="1"/>
  <c r="V36" i="1"/>
  <c r="U36" i="1"/>
  <c r="R36" i="1"/>
  <c r="Q36" i="1"/>
  <c r="V35" i="1"/>
  <c r="U35" i="1"/>
  <c r="Q35" i="1"/>
  <c r="P35" i="1"/>
  <c r="V33" i="1"/>
  <c r="U33" i="1"/>
  <c r="T33" i="1"/>
  <c r="T37" i="1" s="1"/>
  <c r="R33" i="1"/>
  <c r="R37" i="1" s="1"/>
  <c r="Q33" i="1"/>
  <c r="P33" i="1"/>
  <c r="Y31" i="1"/>
  <c r="W31" i="1"/>
  <c r="S31" i="1"/>
  <c r="R30" i="1"/>
  <c r="X29" i="1"/>
  <c r="X31" i="1" s="1"/>
  <c r="V29" i="1"/>
  <c r="U29" i="1"/>
  <c r="U31" i="1" s="1"/>
  <c r="T29" i="1"/>
  <c r="R29" i="1"/>
  <c r="Q29" i="1"/>
  <c r="P29" i="1"/>
  <c r="V28" i="1"/>
  <c r="T28" i="1"/>
  <c r="T31" i="1" s="1"/>
  <c r="R28" i="1"/>
  <c r="Q28" i="1"/>
  <c r="P28" i="1"/>
  <c r="V27" i="1"/>
  <c r="T27" i="1"/>
  <c r="R27" i="1"/>
  <c r="Q27" i="1"/>
  <c r="P27" i="1"/>
  <c r="P31" i="1" s="1"/>
  <c r="V26" i="1"/>
  <c r="T26" i="1"/>
  <c r="R26" i="1"/>
  <c r="Q26" i="1"/>
  <c r="P26" i="1"/>
  <c r="U43" i="1" l="1"/>
  <c r="P71" i="1"/>
  <c r="V54" i="1"/>
  <c r="R31" i="1"/>
  <c r="U59" i="1"/>
  <c r="X71" i="1"/>
  <c r="V76" i="1"/>
  <c r="X59" i="1"/>
  <c r="P54" i="1"/>
  <c r="R43" i="1"/>
  <c r="V43" i="1"/>
  <c r="Q54" i="1"/>
  <c r="P59" i="1"/>
  <c r="Q31" i="1"/>
  <c r="R71" i="1"/>
  <c r="V31" i="1"/>
  <c r="P37" i="1"/>
  <c r="U37" i="1"/>
  <c r="T54" i="1"/>
  <c r="Q59" i="1"/>
  <c r="Q37" i="1"/>
  <c r="V37" i="1"/>
  <c r="U54" i="1"/>
  <c r="R59" i="1"/>
  <c r="Z16" i="1"/>
  <c r="Z17" i="1"/>
  <c r="Z18" i="1"/>
  <c r="Y167" i="1" l="1"/>
  <c r="AJ167" i="1"/>
  <c r="AU167" i="1"/>
  <c r="J88" i="1" l="1"/>
  <c r="I88" i="1"/>
  <c r="H88" i="1"/>
  <c r="E88" i="1"/>
  <c r="J87" i="1"/>
  <c r="I87" i="1"/>
  <c r="H87" i="1"/>
  <c r="E87" i="1"/>
  <c r="M85" i="1"/>
  <c r="L85" i="1"/>
  <c r="K85" i="1"/>
  <c r="I85" i="1"/>
  <c r="H85" i="1"/>
  <c r="G85" i="1"/>
  <c r="F85" i="1"/>
  <c r="E85" i="1"/>
  <c r="D85" i="1"/>
  <c r="J84" i="1"/>
  <c r="J83" i="1"/>
  <c r="J85" i="1" s="1"/>
  <c r="M81" i="1"/>
  <c r="L81" i="1"/>
  <c r="K81" i="1"/>
  <c r="J81" i="1"/>
  <c r="I81" i="1"/>
  <c r="H81" i="1"/>
  <c r="G81" i="1"/>
  <c r="F81" i="1"/>
  <c r="E81" i="1"/>
  <c r="D81" i="1"/>
  <c r="M76" i="1"/>
  <c r="L76" i="1"/>
  <c r="K76" i="1"/>
  <c r="I76" i="1"/>
  <c r="G76" i="1"/>
  <c r="F76" i="1"/>
  <c r="E76" i="1"/>
  <c r="D76" i="1"/>
  <c r="J75" i="1"/>
  <c r="H75" i="1"/>
  <c r="H76" i="1" s="1"/>
  <c r="J73" i="1"/>
  <c r="J76" i="1" s="1"/>
  <c r="M71" i="1"/>
  <c r="K71" i="1"/>
  <c r="I71" i="1"/>
  <c r="G71" i="1"/>
  <c r="F71" i="1"/>
  <c r="E71" i="1"/>
  <c r="L70" i="1"/>
  <c r="D70" i="1"/>
  <c r="H68" i="1"/>
  <c r="H71" i="1" s="1"/>
  <c r="J66" i="1"/>
  <c r="J71" i="1" s="1"/>
  <c r="D66" i="1"/>
  <c r="D65" i="1"/>
  <c r="D63" i="1"/>
  <c r="L62" i="1"/>
  <c r="D62" i="1"/>
  <c r="M59" i="1"/>
  <c r="K59" i="1"/>
  <c r="G59" i="1"/>
  <c r="F59" i="1"/>
  <c r="H58" i="1"/>
  <c r="E58" i="1"/>
  <c r="D58" i="1"/>
  <c r="L57" i="1"/>
  <c r="J57" i="1"/>
  <c r="I57" i="1"/>
  <c r="E57" i="1"/>
  <c r="D57" i="1"/>
  <c r="L56" i="1"/>
  <c r="J56" i="1"/>
  <c r="I56" i="1"/>
  <c r="I59" i="1" s="1"/>
  <c r="H56" i="1"/>
  <c r="E56" i="1"/>
  <c r="D56" i="1"/>
  <c r="M54" i="1"/>
  <c r="L54" i="1"/>
  <c r="K54" i="1"/>
  <c r="F54" i="1"/>
  <c r="J53" i="1"/>
  <c r="I53" i="1"/>
  <c r="H53" i="1"/>
  <c r="E53" i="1"/>
  <c r="D53" i="1"/>
  <c r="J51" i="1"/>
  <c r="I51" i="1"/>
  <c r="H51" i="1"/>
  <c r="G51" i="1"/>
  <c r="G54" i="1" s="1"/>
  <c r="E51" i="1"/>
  <c r="D51" i="1"/>
  <c r="J50" i="1"/>
  <c r="I50" i="1"/>
  <c r="H50" i="1"/>
  <c r="E50" i="1"/>
  <c r="D50" i="1"/>
  <c r="E49" i="1"/>
  <c r="D49" i="1"/>
  <c r="J48" i="1"/>
  <c r="I48" i="1"/>
  <c r="E48" i="1"/>
  <c r="D48" i="1"/>
  <c r="J47" i="1"/>
  <c r="I47" i="1"/>
  <c r="H47" i="1"/>
  <c r="E47" i="1"/>
  <c r="D47" i="1"/>
  <c r="J46" i="1"/>
  <c r="I46" i="1"/>
  <c r="H46" i="1"/>
  <c r="E46" i="1"/>
  <c r="D46" i="1"/>
  <c r="J45" i="1"/>
  <c r="I45" i="1"/>
  <c r="H45" i="1"/>
  <c r="E45" i="1"/>
  <c r="D45" i="1"/>
  <c r="M43" i="1"/>
  <c r="L43" i="1"/>
  <c r="K43" i="1"/>
  <c r="G43" i="1"/>
  <c r="F43" i="1"/>
  <c r="E42" i="1"/>
  <c r="D42" i="1"/>
  <c r="J41" i="1"/>
  <c r="I41" i="1"/>
  <c r="E41" i="1"/>
  <c r="D41" i="1"/>
  <c r="J40" i="1"/>
  <c r="I40" i="1"/>
  <c r="H40" i="1"/>
  <c r="H43" i="1" s="1"/>
  <c r="E40" i="1"/>
  <c r="D40" i="1"/>
  <c r="J39" i="1"/>
  <c r="J43" i="1" s="1"/>
  <c r="I39" i="1"/>
  <c r="E39" i="1"/>
  <c r="D39" i="1"/>
  <c r="M37" i="1"/>
  <c r="L37" i="1"/>
  <c r="K37" i="1"/>
  <c r="G37" i="1"/>
  <c r="F37" i="1"/>
  <c r="J36" i="1"/>
  <c r="I36" i="1"/>
  <c r="H36" i="1"/>
  <c r="E36" i="1"/>
  <c r="D36" i="1"/>
  <c r="J35" i="1"/>
  <c r="I35" i="1"/>
  <c r="H35" i="1"/>
  <c r="E35" i="1"/>
  <c r="D35" i="1"/>
  <c r="E34" i="1"/>
  <c r="D34" i="1"/>
  <c r="J33" i="1"/>
  <c r="J37" i="1" s="1"/>
  <c r="I33" i="1"/>
  <c r="I37" i="1" s="1"/>
  <c r="H33" i="1"/>
  <c r="E33" i="1"/>
  <c r="D33" i="1"/>
  <c r="M31" i="1"/>
  <c r="K31" i="1"/>
  <c r="G31" i="1"/>
  <c r="F31" i="1"/>
  <c r="J30" i="1"/>
  <c r="E30" i="1"/>
  <c r="D30" i="1"/>
  <c r="L29" i="1"/>
  <c r="L31" i="1" s="1"/>
  <c r="J29" i="1"/>
  <c r="I29" i="1"/>
  <c r="H29" i="1"/>
  <c r="E29" i="1"/>
  <c r="D29" i="1"/>
  <c r="J28" i="1"/>
  <c r="I28" i="1"/>
  <c r="H28" i="1"/>
  <c r="E28" i="1"/>
  <c r="D28" i="1"/>
  <c r="J27" i="1"/>
  <c r="I27" i="1"/>
  <c r="H27" i="1"/>
  <c r="E27" i="1"/>
  <c r="D27" i="1"/>
  <c r="J26" i="1"/>
  <c r="I26" i="1"/>
  <c r="H26" i="1"/>
  <c r="E26" i="1"/>
  <c r="D26" i="1"/>
  <c r="D71" i="1" l="1"/>
  <c r="J59" i="1"/>
  <c r="I43" i="1"/>
  <c r="J54" i="1"/>
  <c r="L59" i="1"/>
  <c r="E37" i="1"/>
  <c r="H37" i="1"/>
  <c r="L71" i="1"/>
  <c r="D59" i="1"/>
  <c r="E31" i="1"/>
  <c r="E43" i="1"/>
  <c r="E54" i="1"/>
  <c r="E59" i="1"/>
  <c r="D31" i="1"/>
  <c r="H54" i="1"/>
  <c r="H31" i="1"/>
  <c r="I31" i="1"/>
  <c r="D37" i="1"/>
  <c r="D43" i="1"/>
  <c r="I54" i="1"/>
  <c r="D54" i="1"/>
  <c r="J31" i="1"/>
  <c r="H59" i="1"/>
  <c r="AT21" i="1"/>
  <c r="AP110" i="1"/>
  <c r="AQ110" i="1"/>
  <c r="AR110" i="1"/>
  <c r="AS110" i="1"/>
  <c r="AT110" i="1"/>
  <c r="AU110" i="1"/>
  <c r="AV110" i="1"/>
  <c r="AW110" i="1"/>
  <c r="AX110" i="1"/>
  <c r="AP119" i="1"/>
  <c r="AQ119" i="1"/>
  <c r="AR119" i="1"/>
  <c r="AS119" i="1"/>
  <c r="AT119" i="1"/>
  <c r="AU119" i="1"/>
  <c r="AV119" i="1"/>
  <c r="AW119" i="1"/>
  <c r="AX119" i="1"/>
  <c r="AT135" i="1"/>
  <c r="AT136" i="1" s="1"/>
  <c r="AT97" i="1" s="1"/>
  <c r="AT157" i="1"/>
  <c r="AT160" i="1" s="1"/>
  <c r="AY151" i="1"/>
  <c r="AY152" i="1"/>
  <c r="AY153" i="1"/>
  <c r="AY154" i="1"/>
  <c r="AY155" i="1"/>
  <c r="AP90" i="1"/>
  <c r="AQ90" i="1"/>
  <c r="AR90" i="1"/>
  <c r="AS90" i="1"/>
  <c r="AT90" i="1"/>
  <c r="AT94" i="1" s="1"/>
  <c r="AT96" i="1" s="1"/>
  <c r="AU90" i="1"/>
  <c r="AV90" i="1"/>
  <c r="AW90" i="1"/>
  <c r="AX90" i="1"/>
  <c r="AY100" i="1"/>
  <c r="AY101" i="1"/>
  <c r="AY102" i="1"/>
  <c r="AY103" i="1"/>
  <c r="AY99" i="1"/>
  <c r="AT98" i="1" l="1"/>
  <c r="AT104" i="1" s="1"/>
  <c r="AT161" i="1" s="1"/>
  <c r="AT162" i="1" l="1"/>
  <c r="AT164" i="1" s="1"/>
  <c r="AT170" i="1" s="1"/>
  <c r="T90" i="1"/>
  <c r="U90" i="1"/>
  <c r="V90" i="1"/>
  <c r="W90" i="1"/>
  <c r="X90" i="1"/>
  <c r="Y90" i="1"/>
  <c r="Y21" i="1"/>
  <c r="X21" i="1"/>
  <c r="W21" i="1"/>
  <c r="U21" i="1"/>
  <c r="T21" i="1"/>
  <c r="V21" i="1"/>
  <c r="P90" i="1"/>
  <c r="Q90" i="1"/>
  <c r="R90" i="1"/>
  <c r="R21" i="1"/>
  <c r="Q21" i="1"/>
  <c r="P21" i="1"/>
  <c r="AL151" i="1" l="1"/>
  <c r="AL152" i="1"/>
  <c r="AL153" i="1"/>
  <c r="AL154" i="1"/>
  <c r="AL91" i="1"/>
  <c r="D90" i="1"/>
  <c r="E90" i="1"/>
  <c r="F90" i="1"/>
  <c r="AQ21" i="1"/>
  <c r="AR21" i="1"/>
  <c r="AS21" i="1"/>
  <c r="AU21" i="1"/>
  <c r="AV21" i="1"/>
  <c r="AW21" i="1"/>
  <c r="AX21" i="1"/>
  <c r="AY17" i="1"/>
  <c r="AY18" i="1"/>
  <c r="AY19" i="1"/>
  <c r="AY20" i="1"/>
  <c r="AD94" i="1"/>
  <c r="AC94" i="1"/>
  <c r="AB94" i="1"/>
  <c r="AC96" i="1" l="1"/>
  <c r="AB96" i="1"/>
  <c r="AD96" i="1"/>
  <c r="Z151" i="1" l="1"/>
  <c r="Z152" i="1"/>
  <c r="Z153" i="1"/>
  <c r="Z154" i="1"/>
  <c r="N156" i="1" l="1"/>
  <c r="Z91" i="1"/>
  <c r="Z73" i="1"/>
  <c r="Z75" i="1"/>
  <c r="Z46" i="1"/>
  <c r="Z47" i="1"/>
  <c r="Z48" i="1"/>
  <c r="Z49" i="1"/>
  <c r="Z50" i="1"/>
  <c r="Z51" i="1"/>
  <c r="Z53" i="1"/>
  <c r="Z45" i="1"/>
  <c r="Z19" i="1" l="1"/>
  <c r="Z20" i="1"/>
  <c r="AY168" i="1" l="1"/>
  <c r="AY166" i="1"/>
  <c r="AY163" i="1"/>
  <c r="AY159" i="1"/>
  <c r="AY158" i="1"/>
  <c r="AX157" i="1"/>
  <c r="AX160" i="1" s="1"/>
  <c r="AW157" i="1"/>
  <c r="AW160" i="1" s="1"/>
  <c r="AV157" i="1"/>
  <c r="AV160" i="1" s="1"/>
  <c r="AU157" i="1"/>
  <c r="AU160" i="1" s="1"/>
  <c r="AS157" i="1"/>
  <c r="AS160" i="1" s="1"/>
  <c r="AR157" i="1"/>
  <c r="AR160" i="1" s="1"/>
  <c r="AQ157" i="1"/>
  <c r="AQ160" i="1" s="1"/>
  <c r="AP157" i="1"/>
  <c r="AP160" i="1" s="1"/>
  <c r="AO157" i="1"/>
  <c r="AO160" i="1" s="1"/>
  <c r="AN157" i="1"/>
  <c r="AN160" i="1" s="1"/>
  <c r="AY156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X135" i="1"/>
  <c r="AX136" i="1" s="1"/>
  <c r="AX97" i="1" s="1"/>
  <c r="AW135" i="1"/>
  <c r="AW136" i="1" s="1"/>
  <c r="AW97" i="1" s="1"/>
  <c r="AV135" i="1"/>
  <c r="AV136" i="1" s="1"/>
  <c r="AV97" i="1" s="1"/>
  <c r="AU135" i="1"/>
  <c r="AU136" i="1" s="1"/>
  <c r="AU97" i="1" s="1"/>
  <c r="AS135" i="1"/>
  <c r="AS136" i="1" s="1"/>
  <c r="AS97" i="1" s="1"/>
  <c r="AR135" i="1"/>
  <c r="AR136" i="1" s="1"/>
  <c r="AR97" i="1" s="1"/>
  <c r="AQ135" i="1"/>
  <c r="AQ136" i="1" s="1"/>
  <c r="AQ97" i="1" s="1"/>
  <c r="AP135" i="1"/>
  <c r="AP136" i="1" s="1"/>
  <c r="AP97" i="1" s="1"/>
  <c r="AO135" i="1"/>
  <c r="AN135" i="1"/>
  <c r="AY134" i="1"/>
  <c r="AY133" i="1"/>
  <c r="AY132" i="1"/>
  <c r="AY131" i="1"/>
  <c r="AY130" i="1"/>
  <c r="AY129" i="1"/>
  <c r="AY128" i="1"/>
  <c r="AY127" i="1"/>
  <c r="AY126" i="1"/>
  <c r="AY125" i="1"/>
  <c r="AY123" i="1"/>
  <c r="AY122" i="1"/>
  <c r="AY121" i="1"/>
  <c r="AO119" i="1"/>
  <c r="AN119" i="1"/>
  <c r="AY118" i="1"/>
  <c r="AY117" i="1"/>
  <c r="AY116" i="1"/>
  <c r="AY115" i="1"/>
  <c r="AY114" i="1"/>
  <c r="AY113" i="1"/>
  <c r="AY112" i="1"/>
  <c r="AO110" i="1"/>
  <c r="AO136" i="1" s="1"/>
  <c r="AO97" i="1" s="1"/>
  <c r="AN110" i="1"/>
  <c r="AY109" i="1"/>
  <c r="AY108" i="1"/>
  <c r="AY107" i="1"/>
  <c r="AY95" i="1"/>
  <c r="AY93" i="1"/>
  <c r="AY92" i="1"/>
  <c r="AX94" i="1"/>
  <c r="AX96" i="1" s="1"/>
  <c r="AV94" i="1"/>
  <c r="AV96" i="1" s="1"/>
  <c r="AS94" i="1"/>
  <c r="AS96" i="1" s="1"/>
  <c r="AO90" i="1"/>
  <c r="AN90" i="1"/>
  <c r="AY87" i="1"/>
  <c r="AW94" i="1"/>
  <c r="AW96" i="1" s="1"/>
  <c r="AR94" i="1"/>
  <c r="AR96" i="1" s="1"/>
  <c r="AY84" i="1"/>
  <c r="AY83" i="1"/>
  <c r="AY80" i="1"/>
  <c r="AY79" i="1"/>
  <c r="AY78" i="1"/>
  <c r="AY75" i="1"/>
  <c r="AY73" i="1"/>
  <c r="AY70" i="1"/>
  <c r="AY69" i="1"/>
  <c r="AY68" i="1"/>
  <c r="AY66" i="1"/>
  <c r="AY65" i="1"/>
  <c r="AY63" i="1"/>
  <c r="AY62" i="1"/>
  <c r="AY58" i="1"/>
  <c r="AY57" i="1"/>
  <c r="AY56" i="1"/>
  <c r="AY53" i="1"/>
  <c r="AY51" i="1"/>
  <c r="AY50" i="1"/>
  <c r="AY49" i="1"/>
  <c r="AY48" i="1"/>
  <c r="AY47" i="1"/>
  <c r="AY46" i="1"/>
  <c r="AY45" i="1"/>
  <c r="AU94" i="1"/>
  <c r="AU96" i="1" s="1"/>
  <c r="AY42" i="1"/>
  <c r="AY41" i="1"/>
  <c r="AY40" i="1"/>
  <c r="AY39" i="1"/>
  <c r="AY36" i="1"/>
  <c r="AY35" i="1"/>
  <c r="AY34" i="1"/>
  <c r="AY33" i="1"/>
  <c r="AP94" i="1"/>
  <c r="AP96" i="1" s="1"/>
  <c r="AN94" i="1"/>
  <c r="AN96" i="1" s="1"/>
  <c r="AY30" i="1"/>
  <c r="AY29" i="1"/>
  <c r="AY28" i="1"/>
  <c r="AY27" i="1"/>
  <c r="AY26" i="1"/>
  <c r="AP21" i="1"/>
  <c r="AO21" i="1"/>
  <c r="AN21" i="1"/>
  <c r="AY15" i="1"/>
  <c r="AY12" i="1"/>
  <c r="AY9" i="1"/>
  <c r="AL168" i="1"/>
  <c r="AL166" i="1"/>
  <c r="AL163" i="1"/>
  <c r="AL159" i="1"/>
  <c r="AL158" i="1"/>
  <c r="AK157" i="1"/>
  <c r="AK160" i="1" s="1"/>
  <c r="AJ157" i="1"/>
  <c r="AJ160" i="1" s="1"/>
  <c r="AI157" i="1"/>
  <c r="AI160" i="1" s="1"/>
  <c r="AH157" i="1"/>
  <c r="AH160" i="1" s="1"/>
  <c r="AG157" i="1"/>
  <c r="AG160" i="1" s="1"/>
  <c r="AF157" i="1"/>
  <c r="AF160" i="1" s="1"/>
  <c r="AE157" i="1"/>
  <c r="AE160" i="1" s="1"/>
  <c r="AD157" i="1"/>
  <c r="AD160" i="1" s="1"/>
  <c r="AC157" i="1"/>
  <c r="AC160" i="1" s="1"/>
  <c r="AB157" i="1"/>
  <c r="AB160" i="1" s="1"/>
  <c r="AL156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K136" i="1"/>
  <c r="AK97" i="1" s="1"/>
  <c r="AI136" i="1"/>
  <c r="AI97" i="1" s="1"/>
  <c r="AK135" i="1"/>
  <c r="AJ135" i="1"/>
  <c r="AJ136" i="1" s="1"/>
  <c r="AJ97" i="1" s="1"/>
  <c r="AI135" i="1"/>
  <c r="AH135" i="1"/>
  <c r="AH136" i="1" s="1"/>
  <c r="AH97" i="1" s="1"/>
  <c r="AG135" i="1"/>
  <c r="AG136" i="1" s="1"/>
  <c r="AG97" i="1" s="1"/>
  <c r="AF135" i="1"/>
  <c r="AF136" i="1" s="1"/>
  <c r="AF97" i="1" s="1"/>
  <c r="AE135" i="1"/>
  <c r="AE136" i="1" s="1"/>
  <c r="AE97" i="1" s="1"/>
  <c r="AD135" i="1"/>
  <c r="AD136" i="1" s="1"/>
  <c r="AD97" i="1" s="1"/>
  <c r="AD98" i="1" s="1"/>
  <c r="AD104" i="1" s="1"/>
  <c r="AC135" i="1"/>
  <c r="AB135" i="1"/>
  <c r="AL134" i="1"/>
  <c r="AL133" i="1"/>
  <c r="AL132" i="1"/>
  <c r="AL131" i="1"/>
  <c r="AL130" i="1"/>
  <c r="AL129" i="1"/>
  <c r="AL128" i="1"/>
  <c r="AL127" i="1"/>
  <c r="AL126" i="1"/>
  <c r="AL125" i="1"/>
  <c r="AL123" i="1"/>
  <c r="AL122" i="1"/>
  <c r="AL121" i="1"/>
  <c r="AC119" i="1"/>
  <c r="AC136" i="1" s="1"/>
  <c r="AC97" i="1" s="1"/>
  <c r="AC98" i="1" s="1"/>
  <c r="AC104" i="1" s="1"/>
  <c r="AB119" i="1"/>
  <c r="AL118" i="1"/>
  <c r="AL117" i="1"/>
  <c r="AL116" i="1"/>
  <c r="AL115" i="1"/>
  <c r="AL114" i="1"/>
  <c r="AL113" i="1"/>
  <c r="AL112" i="1"/>
  <c r="AC110" i="1"/>
  <c r="AB110" i="1"/>
  <c r="AL109" i="1"/>
  <c r="AL108" i="1"/>
  <c r="AL107" i="1"/>
  <c r="AL95" i="1"/>
  <c r="AI94" i="1"/>
  <c r="AI96" i="1" s="1"/>
  <c r="AL93" i="1"/>
  <c r="AL92" i="1"/>
  <c r="AL90" i="1"/>
  <c r="AL88" i="1"/>
  <c r="AL87" i="1"/>
  <c r="AL84" i="1"/>
  <c r="AL83" i="1"/>
  <c r="AL80" i="1"/>
  <c r="AL79" i="1"/>
  <c r="AL78" i="1"/>
  <c r="AL75" i="1"/>
  <c r="AL73" i="1"/>
  <c r="AL70" i="1"/>
  <c r="AL69" i="1"/>
  <c r="AL68" i="1"/>
  <c r="AL66" i="1"/>
  <c r="AL65" i="1"/>
  <c r="AL63" i="1"/>
  <c r="AL62" i="1"/>
  <c r="AL58" i="1"/>
  <c r="AL57" i="1"/>
  <c r="AL56" i="1"/>
  <c r="AL53" i="1"/>
  <c r="AL52" i="1"/>
  <c r="AL51" i="1"/>
  <c r="AL50" i="1"/>
  <c r="AL49" i="1"/>
  <c r="AL48" i="1"/>
  <c r="AL47" i="1"/>
  <c r="AL46" i="1"/>
  <c r="AL45" i="1"/>
  <c r="AL42" i="1"/>
  <c r="AL41" i="1"/>
  <c r="AL40" i="1"/>
  <c r="AL39" i="1"/>
  <c r="AL36" i="1"/>
  <c r="AL35" i="1"/>
  <c r="AL34" i="1"/>
  <c r="AL33" i="1"/>
  <c r="AK94" i="1"/>
  <c r="AK96" i="1" s="1"/>
  <c r="AJ94" i="1"/>
  <c r="AJ96" i="1" s="1"/>
  <c r="AH94" i="1"/>
  <c r="AH96" i="1" s="1"/>
  <c r="AG94" i="1"/>
  <c r="AG96" i="1" s="1"/>
  <c r="AG98" i="1" s="1"/>
  <c r="AG104" i="1" s="1"/>
  <c r="AF94" i="1"/>
  <c r="AF96" i="1" s="1"/>
  <c r="AL30" i="1"/>
  <c r="AL29" i="1"/>
  <c r="AL28" i="1"/>
  <c r="AL27" i="1"/>
  <c r="AL26" i="1"/>
  <c r="AK21" i="1"/>
  <c r="AJ21" i="1"/>
  <c r="AI21" i="1"/>
  <c r="AH21" i="1"/>
  <c r="AG21" i="1"/>
  <c r="AF21" i="1"/>
  <c r="AE21" i="1"/>
  <c r="AD21" i="1"/>
  <c r="AC21" i="1"/>
  <c r="AB21" i="1"/>
  <c r="AL20" i="1"/>
  <c r="AL19" i="1"/>
  <c r="AL18" i="1"/>
  <c r="AL17" i="1"/>
  <c r="AL15" i="1"/>
  <c r="AL12" i="1"/>
  <c r="AL9" i="1"/>
  <c r="Z168" i="1"/>
  <c r="Z166" i="1"/>
  <c r="Z163" i="1"/>
  <c r="Z159" i="1"/>
  <c r="Z158" i="1"/>
  <c r="Y157" i="1"/>
  <c r="Y160" i="1" s="1"/>
  <c r="X157" i="1"/>
  <c r="X160" i="1" s="1"/>
  <c r="W157" i="1"/>
  <c r="W160" i="1" s="1"/>
  <c r="V157" i="1"/>
  <c r="V160" i="1" s="1"/>
  <c r="U157" i="1"/>
  <c r="U160" i="1" s="1"/>
  <c r="T157" i="1"/>
  <c r="T160" i="1" s="1"/>
  <c r="S157" i="1"/>
  <c r="S160" i="1" s="1"/>
  <c r="R157" i="1"/>
  <c r="R160" i="1" s="1"/>
  <c r="Q157" i="1"/>
  <c r="Q160" i="1" s="1"/>
  <c r="P157" i="1"/>
  <c r="P160" i="1" s="1"/>
  <c r="Z156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W136" i="1"/>
  <c r="W97" i="1" s="1"/>
  <c r="Y135" i="1"/>
  <c r="Y136" i="1" s="1"/>
  <c r="Y97" i="1" s="1"/>
  <c r="X135" i="1"/>
  <c r="X136" i="1" s="1"/>
  <c r="X97" i="1" s="1"/>
  <c r="W135" i="1"/>
  <c r="V135" i="1"/>
  <c r="V136" i="1" s="1"/>
  <c r="V97" i="1" s="1"/>
  <c r="U135" i="1"/>
  <c r="U136" i="1" s="1"/>
  <c r="U97" i="1" s="1"/>
  <c r="T135" i="1"/>
  <c r="T136" i="1" s="1"/>
  <c r="T97" i="1" s="1"/>
  <c r="S135" i="1"/>
  <c r="S136" i="1" s="1"/>
  <c r="S97" i="1" s="1"/>
  <c r="R135" i="1"/>
  <c r="R136" i="1" s="1"/>
  <c r="R97" i="1" s="1"/>
  <c r="Q135" i="1"/>
  <c r="P135" i="1"/>
  <c r="Z134" i="1"/>
  <c r="Z133" i="1"/>
  <c r="Z132" i="1"/>
  <c r="Z131" i="1"/>
  <c r="Z130" i="1"/>
  <c r="Z129" i="1"/>
  <c r="Z128" i="1"/>
  <c r="Z127" i="1"/>
  <c r="Z126" i="1"/>
  <c r="Z125" i="1"/>
  <c r="Z123" i="1"/>
  <c r="Z122" i="1"/>
  <c r="Z121" i="1"/>
  <c r="Q119" i="1"/>
  <c r="P119" i="1"/>
  <c r="Z118" i="1"/>
  <c r="Z117" i="1"/>
  <c r="Z116" i="1"/>
  <c r="Z115" i="1"/>
  <c r="Z114" i="1"/>
  <c r="Z113" i="1"/>
  <c r="Z112" i="1"/>
  <c r="Q110" i="1"/>
  <c r="P110" i="1"/>
  <c r="P136" i="1" s="1"/>
  <c r="P97" i="1" s="1"/>
  <c r="Z109" i="1"/>
  <c r="Z108" i="1"/>
  <c r="Z107" i="1"/>
  <c r="Z95" i="1"/>
  <c r="Z93" i="1"/>
  <c r="Z92" i="1"/>
  <c r="S90" i="1"/>
  <c r="Z88" i="1"/>
  <c r="Z87" i="1"/>
  <c r="Z84" i="1"/>
  <c r="Z83" i="1"/>
  <c r="Z80" i="1"/>
  <c r="Z79" i="1"/>
  <c r="Z78" i="1"/>
  <c r="Z76" i="1"/>
  <c r="Z70" i="1"/>
  <c r="Z69" i="1"/>
  <c r="Z68" i="1"/>
  <c r="Z66" i="1"/>
  <c r="Z65" i="1"/>
  <c r="Z63" i="1"/>
  <c r="Z62" i="1"/>
  <c r="Z58" i="1"/>
  <c r="Z57" i="1"/>
  <c r="Z56" i="1"/>
  <c r="Z54" i="1"/>
  <c r="Z42" i="1"/>
  <c r="Z41" i="1"/>
  <c r="Z40" i="1"/>
  <c r="Z39" i="1"/>
  <c r="Z36" i="1"/>
  <c r="Z35" i="1"/>
  <c r="Z34" i="1"/>
  <c r="Z33" i="1"/>
  <c r="X94" i="1"/>
  <c r="X96" i="1" s="1"/>
  <c r="W94" i="1"/>
  <c r="W96" i="1" s="1"/>
  <c r="U94" i="1"/>
  <c r="U96" i="1" s="1"/>
  <c r="Z30" i="1"/>
  <c r="Z29" i="1"/>
  <c r="Z28" i="1"/>
  <c r="Z27" i="1"/>
  <c r="Z26" i="1"/>
  <c r="S21" i="1"/>
  <c r="Z12" i="1"/>
  <c r="Z9" i="1"/>
  <c r="N163" i="1"/>
  <c r="N159" i="1"/>
  <c r="N15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38" i="1"/>
  <c r="F157" i="1"/>
  <c r="F160" i="1" s="1"/>
  <c r="G157" i="1"/>
  <c r="G160" i="1" s="1"/>
  <c r="H157" i="1"/>
  <c r="H160" i="1" s="1"/>
  <c r="I157" i="1"/>
  <c r="I160" i="1" s="1"/>
  <c r="J157" i="1"/>
  <c r="J160" i="1" s="1"/>
  <c r="K157" i="1"/>
  <c r="K160" i="1" s="1"/>
  <c r="L157" i="1"/>
  <c r="L160" i="1" s="1"/>
  <c r="M157" i="1"/>
  <c r="M160" i="1" s="1"/>
  <c r="F135" i="1"/>
  <c r="G135" i="1"/>
  <c r="G136" i="1" s="1"/>
  <c r="G97" i="1" s="1"/>
  <c r="H135" i="1"/>
  <c r="H136" i="1" s="1"/>
  <c r="H97" i="1" s="1"/>
  <c r="I135" i="1"/>
  <c r="I136" i="1" s="1"/>
  <c r="I97" i="1" s="1"/>
  <c r="J135" i="1"/>
  <c r="J136" i="1" s="1"/>
  <c r="J97" i="1" s="1"/>
  <c r="K135" i="1"/>
  <c r="K136" i="1" s="1"/>
  <c r="K97" i="1" s="1"/>
  <c r="L135" i="1"/>
  <c r="L136" i="1" s="1"/>
  <c r="L97" i="1" s="1"/>
  <c r="M135" i="1"/>
  <c r="M136" i="1" s="1"/>
  <c r="M97" i="1" s="1"/>
  <c r="F136" i="1"/>
  <c r="N126" i="1"/>
  <c r="N127" i="1"/>
  <c r="N128" i="1"/>
  <c r="N129" i="1"/>
  <c r="N130" i="1"/>
  <c r="N131" i="1"/>
  <c r="N132" i="1"/>
  <c r="N133" i="1"/>
  <c r="N134" i="1"/>
  <c r="N125" i="1"/>
  <c r="N122" i="1"/>
  <c r="N123" i="1"/>
  <c r="N121" i="1"/>
  <c r="N114" i="1"/>
  <c r="N115" i="1"/>
  <c r="N116" i="1"/>
  <c r="N117" i="1"/>
  <c r="N118" i="1"/>
  <c r="N113" i="1"/>
  <c r="N112" i="1"/>
  <c r="N108" i="1"/>
  <c r="N109" i="1"/>
  <c r="N107" i="1"/>
  <c r="N95" i="1"/>
  <c r="N93" i="1"/>
  <c r="N92" i="1"/>
  <c r="N88" i="1"/>
  <c r="N87" i="1"/>
  <c r="N84" i="1"/>
  <c r="N83" i="1"/>
  <c r="N79" i="1"/>
  <c r="N80" i="1"/>
  <c r="N78" i="1"/>
  <c r="N75" i="1"/>
  <c r="N73" i="1"/>
  <c r="N69" i="1"/>
  <c r="N70" i="1"/>
  <c r="N68" i="1"/>
  <c r="N66" i="1"/>
  <c r="N65" i="1"/>
  <c r="N63" i="1"/>
  <c r="N62" i="1"/>
  <c r="N57" i="1"/>
  <c r="N58" i="1"/>
  <c r="N56" i="1"/>
  <c r="F97" i="1"/>
  <c r="G90" i="1"/>
  <c r="H90" i="1"/>
  <c r="I90" i="1"/>
  <c r="J90" i="1"/>
  <c r="K90" i="1"/>
  <c r="L90" i="1"/>
  <c r="M90" i="1"/>
  <c r="N53" i="1"/>
  <c r="N52" i="1"/>
  <c r="N51" i="1"/>
  <c r="N50" i="1"/>
  <c r="N49" i="1"/>
  <c r="N48" i="1"/>
  <c r="N47" i="1"/>
  <c r="N46" i="1"/>
  <c r="N45" i="1"/>
  <c r="N40" i="1"/>
  <c r="N41" i="1"/>
  <c r="N42" i="1"/>
  <c r="N39" i="1"/>
  <c r="N13" i="1"/>
  <c r="N34" i="1"/>
  <c r="N35" i="1"/>
  <c r="N36" i="1"/>
  <c r="N33" i="1"/>
  <c r="N27" i="1"/>
  <c r="N28" i="1"/>
  <c r="N29" i="1"/>
  <c r="N30" i="1"/>
  <c r="N26" i="1"/>
  <c r="N15" i="1"/>
  <c r="N12" i="1"/>
  <c r="N10" i="1"/>
  <c r="N9" i="1"/>
  <c r="F21" i="1"/>
  <c r="G21" i="1"/>
  <c r="H21" i="1"/>
  <c r="I21" i="1"/>
  <c r="J21" i="1"/>
  <c r="K21" i="1"/>
  <c r="L21" i="1"/>
  <c r="M21" i="1"/>
  <c r="AN136" i="1" l="1"/>
  <c r="AN97" i="1" s="1"/>
  <c r="W98" i="1"/>
  <c r="W104" i="1" s="1"/>
  <c r="AY110" i="1"/>
  <c r="Q136" i="1"/>
  <c r="Q97" i="1" s="1"/>
  <c r="AG161" i="1"/>
  <c r="AY119" i="1"/>
  <c r="AN98" i="1"/>
  <c r="AN104" i="1" s="1"/>
  <c r="AN161" i="1" s="1"/>
  <c r="AN162" i="1" s="1"/>
  <c r="AN164" i="1" s="1"/>
  <c r="AN170" i="1" s="1"/>
  <c r="AY85" i="1"/>
  <c r="N81" i="1"/>
  <c r="AS98" i="1"/>
  <c r="AS104" i="1" s="1"/>
  <c r="AS161" i="1" s="1"/>
  <c r="AS162" i="1" s="1"/>
  <c r="AS164" i="1" s="1"/>
  <c r="AS170" i="1" s="1"/>
  <c r="AR98" i="1"/>
  <c r="AR104" i="1" s="1"/>
  <c r="AX98" i="1"/>
  <c r="AX104" i="1" s="1"/>
  <c r="AX161" i="1" s="1"/>
  <c r="AX162" i="1" s="1"/>
  <c r="AX164" i="1" s="1"/>
  <c r="AX170" i="1" s="1"/>
  <c r="AR161" i="1"/>
  <c r="AR162" i="1" s="1"/>
  <c r="AR164" i="1" s="1"/>
  <c r="AR170" i="1" s="1"/>
  <c r="AW98" i="1"/>
  <c r="AW104" i="1" s="1"/>
  <c r="AW161" i="1" s="1"/>
  <c r="AW162" i="1" s="1"/>
  <c r="AW164" i="1" s="1"/>
  <c r="AW170" i="1" s="1"/>
  <c r="Z135" i="1"/>
  <c r="Z136" i="1" s="1"/>
  <c r="Z97" i="1" s="1"/>
  <c r="X98" i="1"/>
  <c r="X104" i="1" s="1"/>
  <c r="X161" i="1" s="1"/>
  <c r="X162" i="1" s="1"/>
  <c r="X164" i="1" s="1"/>
  <c r="X170" i="1" s="1"/>
  <c r="AF98" i="1"/>
  <c r="AF104" i="1" s="1"/>
  <c r="AF161" i="1" s="1"/>
  <c r="AE94" i="1"/>
  <c r="AE96" i="1" s="1"/>
  <c r="AE98" i="1" s="1"/>
  <c r="AE104" i="1" s="1"/>
  <c r="AE161" i="1" s="1"/>
  <c r="AE162" i="1" s="1"/>
  <c r="AE164" i="1" s="1"/>
  <c r="AE170" i="1" s="1"/>
  <c r="AL135" i="1"/>
  <c r="AL136" i="1" s="1"/>
  <c r="AL97" i="1" s="1"/>
  <c r="AO94" i="1"/>
  <c r="AO96" i="1" s="1"/>
  <c r="AO98" i="1" s="1"/>
  <c r="AO104" i="1" s="1"/>
  <c r="AO161" i="1" s="1"/>
  <c r="AO162" i="1" s="1"/>
  <c r="AO164" i="1" s="1"/>
  <c r="AO170" i="1" s="1"/>
  <c r="AY59" i="1"/>
  <c r="AY76" i="1"/>
  <c r="AQ94" i="1"/>
  <c r="AQ96" i="1" s="1"/>
  <c r="AQ98" i="1" s="1"/>
  <c r="AQ104" i="1" s="1"/>
  <c r="AQ161" i="1" s="1"/>
  <c r="AQ162" i="1" s="1"/>
  <c r="AQ164" i="1" s="1"/>
  <c r="AQ170" i="1" s="1"/>
  <c r="AL59" i="1"/>
  <c r="AP98" i="1"/>
  <c r="AP104" i="1" s="1"/>
  <c r="AP161" i="1" s="1"/>
  <c r="AP162" i="1" s="1"/>
  <c r="AP164" i="1" s="1"/>
  <c r="AP170" i="1" s="1"/>
  <c r="AY21" i="1"/>
  <c r="AY90" i="1"/>
  <c r="AY135" i="1"/>
  <c r="AY136" i="1" s="1"/>
  <c r="AY97" i="1" s="1"/>
  <c r="Z81" i="1"/>
  <c r="AH98" i="1"/>
  <c r="AH104" i="1" s="1"/>
  <c r="AH161" i="1" s="1"/>
  <c r="AH162" i="1" s="1"/>
  <c r="AH164" i="1" s="1"/>
  <c r="AH170" i="1" s="1"/>
  <c r="Z21" i="1"/>
  <c r="AJ98" i="1"/>
  <c r="AJ104" i="1" s="1"/>
  <c r="AJ161" i="1" s="1"/>
  <c r="AJ162" i="1" s="1"/>
  <c r="AJ164" i="1" s="1"/>
  <c r="AJ170" i="1" s="1"/>
  <c r="AU98" i="1"/>
  <c r="AU104" i="1" s="1"/>
  <c r="AU161" i="1" s="1"/>
  <c r="AU162" i="1" s="1"/>
  <c r="AU164" i="1" s="1"/>
  <c r="AU170" i="1" s="1"/>
  <c r="AK98" i="1"/>
  <c r="AK104" i="1" s="1"/>
  <c r="AK161" i="1" s="1"/>
  <c r="AK162" i="1" s="1"/>
  <c r="AK164" i="1" s="1"/>
  <c r="AK170" i="1" s="1"/>
  <c r="U98" i="1"/>
  <c r="U104" i="1" s="1"/>
  <c r="AI98" i="1"/>
  <c r="AI104" i="1" s="1"/>
  <c r="AI161" i="1" s="1"/>
  <c r="AI162" i="1" s="1"/>
  <c r="AI164" i="1" s="1"/>
  <c r="AI170" i="1" s="1"/>
  <c r="AB136" i="1"/>
  <c r="AB97" i="1" s="1"/>
  <c r="AB98" i="1" s="1"/>
  <c r="AB104" i="1" s="1"/>
  <c r="AB161" i="1" s="1"/>
  <c r="AB162" i="1" s="1"/>
  <c r="AB164" i="1" s="1"/>
  <c r="AB170" i="1" s="1"/>
  <c r="AY157" i="1"/>
  <c r="AY160" i="1" s="1"/>
  <c r="W161" i="1"/>
  <c r="W162" i="1" s="1"/>
  <c r="W164" i="1" s="1"/>
  <c r="W170" i="1" s="1"/>
  <c r="Z85" i="1"/>
  <c r="Z37" i="1"/>
  <c r="Z43" i="1"/>
  <c r="AL157" i="1"/>
  <c r="AL160" i="1" s="1"/>
  <c r="AC161" i="1"/>
  <c r="AC162" i="1" s="1"/>
  <c r="AC164" i="1" s="1"/>
  <c r="AC170" i="1" s="1"/>
  <c r="AD161" i="1"/>
  <c r="AD162" i="1" s="1"/>
  <c r="AD164" i="1" s="1"/>
  <c r="AD170" i="1" s="1"/>
  <c r="AL31" i="1"/>
  <c r="AY31" i="1"/>
  <c r="AY43" i="1"/>
  <c r="AY37" i="1"/>
  <c r="AY54" i="1"/>
  <c r="AY81" i="1"/>
  <c r="AY71" i="1"/>
  <c r="AL76" i="1"/>
  <c r="AL37" i="1"/>
  <c r="AL71" i="1"/>
  <c r="AL81" i="1"/>
  <c r="AL85" i="1"/>
  <c r="AL43" i="1"/>
  <c r="AL54" i="1"/>
  <c r="AG162" i="1"/>
  <c r="AG164" i="1" s="1"/>
  <c r="AG170" i="1" s="1"/>
  <c r="AL21" i="1"/>
  <c r="Z157" i="1"/>
  <c r="Z160" i="1" s="1"/>
  <c r="Z90" i="1"/>
  <c r="Z71" i="1"/>
  <c r="Z59" i="1"/>
  <c r="P94" i="1"/>
  <c r="P96" i="1" s="1"/>
  <c r="P98" i="1" s="1"/>
  <c r="P104" i="1" s="1"/>
  <c r="P161" i="1" s="1"/>
  <c r="P162" i="1" s="1"/>
  <c r="P164" i="1" s="1"/>
  <c r="P170" i="1" s="1"/>
  <c r="Y94" i="1"/>
  <c r="Y96" i="1" s="1"/>
  <c r="Y98" i="1" s="1"/>
  <c r="Y104" i="1" s="1"/>
  <c r="Y161" i="1" s="1"/>
  <c r="Y162" i="1" s="1"/>
  <c r="Y164" i="1" s="1"/>
  <c r="Y170" i="1" s="1"/>
  <c r="V94" i="1"/>
  <c r="V96" i="1" s="1"/>
  <c r="V98" i="1" s="1"/>
  <c r="V104" i="1" s="1"/>
  <c r="V161" i="1" s="1"/>
  <c r="V162" i="1" s="1"/>
  <c r="V164" i="1" s="1"/>
  <c r="V170" i="1" s="1"/>
  <c r="Q94" i="1"/>
  <c r="Q96" i="1" s="1"/>
  <c r="Q98" i="1" s="1"/>
  <c r="Q104" i="1" s="1"/>
  <c r="Q161" i="1" s="1"/>
  <c r="Q162" i="1" s="1"/>
  <c r="Q164" i="1" s="1"/>
  <c r="Q170" i="1" s="1"/>
  <c r="R94" i="1"/>
  <c r="R96" i="1" s="1"/>
  <c r="R98" i="1" s="1"/>
  <c r="R104" i="1" s="1"/>
  <c r="R161" i="1" s="1"/>
  <c r="R162" i="1" s="1"/>
  <c r="R164" i="1" s="1"/>
  <c r="R170" i="1" s="1"/>
  <c r="T94" i="1"/>
  <c r="T96" i="1" s="1"/>
  <c r="T98" i="1" s="1"/>
  <c r="T104" i="1" s="1"/>
  <c r="T161" i="1" s="1"/>
  <c r="T162" i="1" s="1"/>
  <c r="T164" i="1" s="1"/>
  <c r="T170" i="1" s="1"/>
  <c r="S94" i="1"/>
  <c r="S96" i="1" s="1"/>
  <c r="S98" i="1" s="1"/>
  <c r="S104" i="1" s="1"/>
  <c r="S161" i="1" s="1"/>
  <c r="S162" i="1" s="1"/>
  <c r="S164" i="1" s="1"/>
  <c r="S170" i="1" s="1"/>
  <c r="Z31" i="1"/>
  <c r="AV98" i="1"/>
  <c r="AV104" i="1" s="1"/>
  <c r="AV161" i="1" s="1"/>
  <c r="AV162" i="1" s="1"/>
  <c r="AV164" i="1" s="1"/>
  <c r="AV170" i="1" s="1"/>
  <c r="AF162" i="1"/>
  <c r="AF164" i="1" s="1"/>
  <c r="AF170" i="1" s="1"/>
  <c r="U161" i="1"/>
  <c r="U162" i="1" s="1"/>
  <c r="U164" i="1" s="1"/>
  <c r="U170" i="1" s="1"/>
  <c r="H94" i="1"/>
  <c r="H96" i="1" s="1"/>
  <c r="H98" i="1" s="1"/>
  <c r="H104" i="1" s="1"/>
  <c r="H161" i="1" s="1"/>
  <c r="H162" i="1" s="1"/>
  <c r="H164" i="1" s="1"/>
  <c r="H170" i="1" s="1"/>
  <c r="N71" i="1"/>
  <c r="G94" i="1"/>
  <c r="G96" i="1" s="1"/>
  <c r="G98" i="1" s="1"/>
  <c r="G104" i="1" s="1"/>
  <c r="G161" i="1" s="1"/>
  <c r="G162" i="1" s="1"/>
  <c r="G164" i="1" s="1"/>
  <c r="G170" i="1" s="1"/>
  <c r="N76" i="1"/>
  <c r="M94" i="1"/>
  <c r="M96" i="1" s="1"/>
  <c r="M98" i="1" s="1"/>
  <c r="M104" i="1" s="1"/>
  <c r="M161" i="1" s="1"/>
  <c r="M162" i="1" s="1"/>
  <c r="M164" i="1" s="1"/>
  <c r="M170" i="1" s="1"/>
  <c r="N31" i="1"/>
  <c r="N59" i="1"/>
  <c r="L94" i="1"/>
  <c r="L96" i="1" s="1"/>
  <c r="L98" i="1" s="1"/>
  <c r="L104" i="1" s="1"/>
  <c r="L161" i="1" s="1"/>
  <c r="L162" i="1" s="1"/>
  <c r="L164" i="1" s="1"/>
  <c r="L170" i="1" s="1"/>
  <c r="K94" i="1"/>
  <c r="K96" i="1" s="1"/>
  <c r="K98" i="1" s="1"/>
  <c r="K104" i="1" s="1"/>
  <c r="K161" i="1" s="1"/>
  <c r="K162" i="1" s="1"/>
  <c r="K164" i="1" s="1"/>
  <c r="K170" i="1" s="1"/>
  <c r="J94" i="1"/>
  <c r="J96" i="1" s="1"/>
  <c r="J98" i="1" s="1"/>
  <c r="J104" i="1" s="1"/>
  <c r="J161" i="1" s="1"/>
  <c r="J162" i="1" s="1"/>
  <c r="J164" i="1" s="1"/>
  <c r="J170" i="1" s="1"/>
  <c r="I94" i="1"/>
  <c r="I96" i="1" s="1"/>
  <c r="I98" i="1" s="1"/>
  <c r="I104" i="1" s="1"/>
  <c r="I161" i="1" s="1"/>
  <c r="I162" i="1" s="1"/>
  <c r="I164" i="1" s="1"/>
  <c r="I170" i="1" s="1"/>
  <c r="F94" i="1"/>
  <c r="F96" i="1" s="1"/>
  <c r="F98" i="1" s="1"/>
  <c r="F104" i="1" s="1"/>
  <c r="F161" i="1" s="1"/>
  <c r="F162" i="1" s="1"/>
  <c r="F164" i="1" s="1"/>
  <c r="F170" i="1" s="1"/>
  <c r="N37" i="1"/>
  <c r="N135" i="1"/>
  <c r="N136" i="1" s="1"/>
  <c r="N97" i="1" s="1"/>
  <c r="N54" i="1"/>
  <c r="N157" i="1"/>
  <c r="N160" i="1" s="1"/>
  <c r="N85" i="1"/>
  <c r="N43" i="1"/>
  <c r="N21" i="1"/>
  <c r="AY94" i="1" l="1"/>
  <c r="AY96" i="1" s="1"/>
  <c r="AY98" i="1" s="1"/>
  <c r="AY104" i="1" s="1"/>
  <c r="AY161" i="1" s="1"/>
  <c r="AY162" i="1" s="1"/>
  <c r="AY164" i="1" s="1"/>
  <c r="AY170" i="1" s="1"/>
  <c r="Z94" i="1"/>
  <c r="Z96" i="1" s="1"/>
  <c r="Z98" i="1" s="1"/>
  <c r="Z104" i="1" s="1"/>
  <c r="Z161" i="1" s="1"/>
  <c r="Z162" i="1" s="1"/>
  <c r="Z164" i="1" s="1"/>
  <c r="Z170" i="1" s="1"/>
  <c r="AL94" i="1"/>
  <c r="AL96" i="1" s="1"/>
  <c r="AL98" i="1" s="1"/>
  <c r="AL104" i="1" s="1"/>
  <c r="AL161" i="1" s="1"/>
  <c r="AL162" i="1" s="1"/>
  <c r="AL164" i="1" s="1"/>
  <c r="AL170" i="1" s="1"/>
  <c r="E157" i="1"/>
  <c r="E160" i="1" s="1"/>
  <c r="E135" i="1"/>
  <c r="E119" i="1"/>
  <c r="E110" i="1"/>
  <c r="E21" i="1"/>
  <c r="D21" i="1"/>
  <c r="N90" i="1" l="1"/>
  <c r="N94" i="1" s="1"/>
  <c r="N96" i="1" s="1"/>
  <c r="N98" i="1" s="1"/>
  <c r="N104" i="1" s="1"/>
  <c r="N161" i="1" s="1"/>
  <c r="N162" i="1" s="1"/>
  <c r="N164" i="1" s="1"/>
  <c r="N170" i="1" s="1"/>
  <c r="E94" i="1"/>
  <c r="E96" i="1" s="1"/>
  <c r="E136" i="1"/>
  <c r="E97" i="1" s="1"/>
  <c r="D110" i="1"/>
  <c r="D119" i="1"/>
  <c r="D157" i="1"/>
  <c r="D135" i="1"/>
  <c r="E98" i="1" l="1"/>
  <c r="E104" i="1" s="1"/>
  <c r="E161" i="1" s="1"/>
  <c r="E162" i="1" s="1"/>
  <c r="E164" i="1" s="1"/>
  <c r="E170" i="1" s="1"/>
  <c r="D136" i="1"/>
  <c r="D160" i="1"/>
  <c r="D97" i="1" l="1"/>
  <c r="D94" i="1" l="1"/>
  <c r="D96" i="1" l="1"/>
  <c r="D98" i="1" l="1"/>
  <c r="D104" i="1" l="1"/>
  <c r="D161" i="1" l="1"/>
  <c r="D162" i="1" l="1"/>
  <c r="D164" i="1" l="1"/>
  <c r="D170" i="1" l="1"/>
</calcChain>
</file>

<file path=xl/sharedStrings.xml><?xml version="1.0" encoding="utf-8"?>
<sst xmlns="http://schemas.openxmlformats.org/spreadsheetml/2006/main" count="360" uniqueCount="308">
  <si>
    <t>Non-Title XIX/XXI Statement of Activities - North GSA</t>
  </si>
  <si>
    <t>CRISIS</t>
  </si>
  <si>
    <t>SMI</t>
  </si>
  <si>
    <r>
      <t>OTHER</t>
    </r>
    <r>
      <rPr>
        <b/>
        <vertAlign val="superscript"/>
        <sz val="12"/>
        <rFont val="Arial"/>
        <family val="2"/>
      </rPr>
      <t>1</t>
    </r>
  </si>
  <si>
    <t>HOUSING TRUST FUNDS</t>
  </si>
  <si>
    <t>MHBG SED</t>
  </si>
  <si>
    <t>MHBG SMI</t>
  </si>
  <si>
    <t>SABG</t>
  </si>
  <si>
    <r>
      <t>OTHER FEDERAL</t>
    </r>
    <r>
      <rPr>
        <b/>
        <vertAlign val="superscript"/>
        <sz val="12"/>
        <rFont val="Arial"/>
        <family val="2"/>
      </rPr>
      <t>2</t>
    </r>
  </si>
  <si>
    <t>COUNTY</t>
  </si>
  <si>
    <t>PASRR</t>
  </si>
  <si>
    <t>TOTAL</t>
  </si>
  <si>
    <t>MHBG FEP</t>
  </si>
  <si>
    <t>REVENUE</t>
  </si>
  <si>
    <t>40105-01</t>
  </si>
  <si>
    <t>Capitation</t>
  </si>
  <si>
    <t>40110-01</t>
  </si>
  <si>
    <t>PPC Capitation</t>
  </si>
  <si>
    <t>40115-01</t>
  </si>
  <si>
    <t>Alternative Payment Model Initiatives Reconciliation/Settlement</t>
  </si>
  <si>
    <t>40135-01</t>
  </si>
  <si>
    <t>Title XIX/XXI Reconciliation Settlement</t>
  </si>
  <si>
    <t>40145-01</t>
  </si>
  <si>
    <t>PCP Parity Enhanced Payment Expense</t>
  </si>
  <si>
    <t>Other Reconciliation Settlements*</t>
  </si>
  <si>
    <t>40160-01</t>
  </si>
  <si>
    <t>Health Insurance Provider Fee Revenue</t>
  </si>
  <si>
    <t>40205-01</t>
  </si>
  <si>
    <t>Non-Title XIX/XXI Revenue</t>
  </si>
  <si>
    <t>40210-01</t>
  </si>
  <si>
    <t>Specialty and Other Grants*</t>
  </si>
  <si>
    <t>40215-01</t>
  </si>
  <si>
    <t>Non-Title XIX/XXI Profit Limit</t>
  </si>
  <si>
    <t>40305-01</t>
  </si>
  <si>
    <t>Investment Income</t>
  </si>
  <si>
    <t>40310-01</t>
  </si>
  <si>
    <t xml:space="preserve">Other Income </t>
  </si>
  <si>
    <t>TOTAL REVENUE</t>
  </si>
  <si>
    <t>EXPENSES</t>
  </si>
  <si>
    <t>Behavioral Health (BH) Medical Expenses:</t>
  </si>
  <si>
    <t>Treatment Services</t>
  </si>
  <si>
    <t>60105-01</t>
  </si>
  <si>
    <t>Counseling</t>
  </si>
  <si>
    <t>a</t>
  </si>
  <si>
    <t>Counseling, Individual</t>
  </si>
  <si>
    <t>b</t>
  </si>
  <si>
    <t>Counseling, Family</t>
  </si>
  <si>
    <t>c</t>
  </si>
  <si>
    <t>Counseling, Group</t>
  </si>
  <si>
    <t>60105-05</t>
  </si>
  <si>
    <t>Assessment, Evaluation and Screening</t>
  </si>
  <si>
    <t>60105-10</t>
  </si>
  <si>
    <t>Other Professional</t>
  </si>
  <si>
    <t>Total Treatment Services</t>
  </si>
  <si>
    <t>Rehabilitation Services</t>
  </si>
  <si>
    <t>60205-01</t>
  </si>
  <si>
    <t>Living Skills Training</t>
  </si>
  <si>
    <t>60205-05</t>
  </si>
  <si>
    <t>Cognitive Rehabilitation</t>
  </si>
  <si>
    <t>60205-10</t>
  </si>
  <si>
    <t>Health Promotion</t>
  </si>
  <si>
    <t>60205-15</t>
  </si>
  <si>
    <t>Supported Employment Services</t>
  </si>
  <si>
    <t>Total Rehabilitation Services</t>
  </si>
  <si>
    <t>Medical Services</t>
  </si>
  <si>
    <t>60305-01</t>
  </si>
  <si>
    <t>Medication Services</t>
  </si>
  <si>
    <t>60305-05</t>
  </si>
  <si>
    <t>Medical Management</t>
  </si>
  <si>
    <t>60305-10</t>
  </si>
  <si>
    <t>Laboratory, Radiology and Medical Imaging</t>
  </si>
  <si>
    <t>60305-15</t>
  </si>
  <si>
    <t>Electro-Convulsive Therapy</t>
  </si>
  <si>
    <t xml:space="preserve">Total Medical Services </t>
  </si>
  <si>
    <t>Support Services</t>
  </si>
  <si>
    <t>60405-01</t>
  </si>
  <si>
    <t>Case Management</t>
  </si>
  <si>
    <t>60405-05</t>
  </si>
  <si>
    <t>Personal Care Services</t>
  </si>
  <si>
    <t>60405-10</t>
  </si>
  <si>
    <t>Family Support</t>
  </si>
  <si>
    <t>60405-15</t>
  </si>
  <si>
    <t>Peer Support</t>
  </si>
  <si>
    <t>60405-20</t>
  </si>
  <si>
    <t>Therapeutic Foster Care/Therapeutic Home</t>
  </si>
  <si>
    <t>60405-25</t>
  </si>
  <si>
    <t>Unskilled Respite Care</t>
  </si>
  <si>
    <t>60405-30</t>
  </si>
  <si>
    <t>Supported Housing*</t>
  </si>
  <si>
    <t>60405-35</t>
  </si>
  <si>
    <t>Reserved for Future Use</t>
  </si>
  <si>
    <t>60405-40</t>
  </si>
  <si>
    <t>Transportation</t>
  </si>
  <si>
    <t>Total Support Services</t>
  </si>
  <si>
    <t>Crisis Intervention Services</t>
  </si>
  <si>
    <t>60505-01</t>
  </si>
  <si>
    <t>Crisis Intervention - Mobile</t>
  </si>
  <si>
    <t>60505-05</t>
  </si>
  <si>
    <t>Crisis Intervention - Stabilization</t>
  </si>
  <si>
    <t>60505-10</t>
  </si>
  <si>
    <t>Crisis Intervention - Telephone</t>
  </si>
  <si>
    <t>Total Crisis Intervention Services</t>
  </si>
  <si>
    <t>Inpatient Services</t>
  </si>
  <si>
    <t>60605-01</t>
  </si>
  <si>
    <t>Hospital</t>
  </si>
  <si>
    <t>Psychiatric (Provider Types 02 &amp; 71)</t>
  </si>
  <si>
    <t>Detoxification (Provider Types 02 &amp; 71)</t>
  </si>
  <si>
    <t>60605-05</t>
  </si>
  <si>
    <t>Sub acute Facility</t>
  </si>
  <si>
    <t>Psychiatric (Provider Types B5 &amp; B6)</t>
  </si>
  <si>
    <t>Detoxification (Provider Types B5 &amp; B6)</t>
  </si>
  <si>
    <t>60605-10</t>
  </si>
  <si>
    <t>Residential Treatment Center (RTC)</t>
  </si>
  <si>
    <t>Psychiatric - Secure &amp; Non-Secure Provider Types 78,B1,B2,B3)</t>
  </si>
  <si>
    <t>Detoxification - Secure &amp; Non-Secure (Provider Types (78,B1,B2,B3)</t>
  </si>
  <si>
    <t>60605-15</t>
  </si>
  <si>
    <t>Inpatient Services, Professional</t>
  </si>
  <si>
    <t>Total Inpatient Services</t>
  </si>
  <si>
    <t>Residential Services</t>
  </si>
  <si>
    <t>60705-01</t>
  </si>
  <si>
    <t>Behavioral Health Residential Facilities</t>
  </si>
  <si>
    <t>60705-05</t>
  </si>
  <si>
    <t>60705-10</t>
  </si>
  <si>
    <t>Room and Board</t>
  </si>
  <si>
    <t xml:space="preserve">Total Residential Services </t>
  </si>
  <si>
    <t>Behavioral Health Day Program</t>
  </si>
  <si>
    <t>60805-01</t>
  </si>
  <si>
    <t>Supervised Day Program</t>
  </si>
  <si>
    <t>60805-05</t>
  </si>
  <si>
    <t>Therapeutic Day Program</t>
  </si>
  <si>
    <t>60805-10</t>
  </si>
  <si>
    <t>Medical Day Program</t>
  </si>
  <si>
    <t>Total Behavioral Health Day Program</t>
  </si>
  <si>
    <t>Prevention Services</t>
  </si>
  <si>
    <t>60905-01</t>
  </si>
  <si>
    <t xml:space="preserve">Prevention </t>
  </si>
  <si>
    <t>60905-05</t>
  </si>
  <si>
    <t>HIV</t>
  </si>
  <si>
    <t>Total Prevention Services</t>
  </si>
  <si>
    <t>BH Pharmacy Expenses</t>
  </si>
  <si>
    <t>61005-01</t>
  </si>
  <si>
    <t>BH Pharmacy Expense</t>
  </si>
  <si>
    <t>61005-05</t>
  </si>
  <si>
    <t>BH Pharmacy Rebates</t>
  </si>
  <si>
    <t>61005-10</t>
  </si>
  <si>
    <t>BH Pharmacy Performance Guarantees</t>
  </si>
  <si>
    <t>Total Pharmacy Expense</t>
  </si>
  <si>
    <t>61100-01</t>
  </si>
  <si>
    <t>PPC BH Title XIX</t>
  </si>
  <si>
    <t>61105-01</t>
  </si>
  <si>
    <t>61205-01</t>
  </si>
  <si>
    <t>BH FQHC/RHC Services</t>
  </si>
  <si>
    <t>Subtotal BH Medical Expenses</t>
  </si>
  <si>
    <t>61305-01</t>
  </si>
  <si>
    <t>Specialty and Other Grant Expenses*</t>
  </si>
  <si>
    <t>Total BH Medical Expenses</t>
  </si>
  <si>
    <t>Total PH Medical Expenses (details below)</t>
  </si>
  <si>
    <t>Total BH and PH Medical Expenses</t>
  </si>
  <si>
    <t>70105-01</t>
  </si>
  <si>
    <t>Less:  Reinsurance</t>
  </si>
  <si>
    <t>70205-02</t>
  </si>
  <si>
    <t>Less:  Third Party Liability</t>
  </si>
  <si>
    <t>70305-01</t>
  </si>
  <si>
    <t>Less:  Claims Overpayment Recoveries</t>
  </si>
  <si>
    <t>70310-05</t>
  </si>
  <si>
    <t>Less:  Pharmacy Rebates</t>
  </si>
  <si>
    <t>70310-10</t>
  </si>
  <si>
    <t>Less:  Pharmacy Performance Guarantees</t>
  </si>
  <si>
    <t>Total Net Medical Expense</t>
  </si>
  <si>
    <t>Physical Health (PH) Medical Expenses</t>
  </si>
  <si>
    <t>Hospitalization</t>
  </si>
  <si>
    <t>50105-01</t>
  </si>
  <si>
    <t>Hospital Inpatient</t>
  </si>
  <si>
    <t>50110-01</t>
  </si>
  <si>
    <t>Behavioral Health Hospital Inpatient</t>
  </si>
  <si>
    <t>PPC - Hospital Inpatient</t>
  </si>
  <si>
    <t>Total Hospitalization</t>
  </si>
  <si>
    <t>Medical Compensation</t>
  </si>
  <si>
    <t>50205-01</t>
  </si>
  <si>
    <t>Primary Care Physician Services</t>
  </si>
  <si>
    <t>50210-01</t>
  </si>
  <si>
    <t>Behavioral Health Physician Services</t>
  </si>
  <si>
    <t>50215-01</t>
  </si>
  <si>
    <t>Referral Physician Services</t>
  </si>
  <si>
    <t>50220-01</t>
  </si>
  <si>
    <t>PH FQHC/RHC Services</t>
  </si>
  <si>
    <t>50225-01</t>
  </si>
  <si>
    <t>Other Professional Services</t>
  </si>
  <si>
    <t>50230-01</t>
  </si>
  <si>
    <t>PPC - Physician Services</t>
  </si>
  <si>
    <t>50235-01</t>
  </si>
  <si>
    <t>Total Medical Compensation</t>
  </si>
  <si>
    <t>Other Medical Expenses</t>
  </si>
  <si>
    <t>50305-01</t>
  </si>
  <si>
    <t>Emergency Facility Services</t>
  </si>
  <si>
    <t>50310-01</t>
  </si>
  <si>
    <t>PH Pharmacy</t>
  </si>
  <si>
    <t>50310-05</t>
  </si>
  <si>
    <t>PH Pharmacy Rebates</t>
  </si>
  <si>
    <t>50310-10</t>
  </si>
  <si>
    <t>PH Pharmacy Performance Guarantees</t>
  </si>
  <si>
    <t>50315-01</t>
  </si>
  <si>
    <t>Laboratory, Radiology &amp; Medical Imaging</t>
  </si>
  <si>
    <t>50320-01</t>
  </si>
  <si>
    <t>Outpatient Facility</t>
  </si>
  <si>
    <t>50325-01</t>
  </si>
  <si>
    <t>Durable Medical Equipment</t>
  </si>
  <si>
    <t>50330-01</t>
  </si>
  <si>
    <t>Dental</t>
  </si>
  <si>
    <t>50335-01</t>
  </si>
  <si>
    <t>50340-00</t>
  </si>
  <si>
    <t>Nursing Facility, Home Health Care</t>
  </si>
  <si>
    <t>50345-01</t>
  </si>
  <si>
    <t>Therapies</t>
  </si>
  <si>
    <t>50350-01</t>
  </si>
  <si>
    <t>Alternative Payment Model Performance Based Payments to Providers</t>
  </si>
  <si>
    <t>50360-01</t>
  </si>
  <si>
    <t>PPC, Other Medical Expenses</t>
  </si>
  <si>
    <t>50370-01</t>
  </si>
  <si>
    <t>Total Other Medical Expenses</t>
  </si>
  <si>
    <t>Total Physical Health Expense</t>
  </si>
  <si>
    <t>Administrative Expenses:</t>
  </si>
  <si>
    <t>80105-01</t>
  </si>
  <si>
    <t>Compensation</t>
  </si>
  <si>
    <t>80205-01</t>
  </si>
  <si>
    <t>Occupancy</t>
  </si>
  <si>
    <t>80305-01</t>
  </si>
  <si>
    <t xml:space="preserve">Depreciation </t>
  </si>
  <si>
    <t>80405-01</t>
  </si>
  <si>
    <t>Care Management/Care Coordination</t>
  </si>
  <si>
    <t>80505-01</t>
  </si>
  <si>
    <t>Professional and Outside Services</t>
  </si>
  <si>
    <t>80605-01</t>
  </si>
  <si>
    <t>Office Supplies and Equipment</t>
  </si>
  <si>
    <t>80705-01</t>
  </si>
  <si>
    <t>Travel</t>
  </si>
  <si>
    <t>80805-01</t>
  </si>
  <si>
    <t>Repair and Maintenance</t>
  </si>
  <si>
    <t>80905-01</t>
  </si>
  <si>
    <t>Bank Service Charge</t>
  </si>
  <si>
    <t>81005-01</t>
  </si>
  <si>
    <t>Insurance</t>
  </si>
  <si>
    <t>81105-01</t>
  </si>
  <si>
    <t>Marketing</t>
  </si>
  <si>
    <t>81205-01</t>
  </si>
  <si>
    <t>Interest Expense</t>
  </si>
  <si>
    <t>81305-01</t>
  </si>
  <si>
    <t>Pharmacy Benefit Manager Expenses</t>
  </si>
  <si>
    <t>81405-01</t>
  </si>
  <si>
    <t>Fraud Reduction Expenses</t>
  </si>
  <si>
    <t>81505-01</t>
  </si>
  <si>
    <t>Third Party Activities</t>
  </si>
  <si>
    <t>81605-01</t>
  </si>
  <si>
    <t>Sub Capitation Block Administration</t>
  </si>
  <si>
    <t>81705-01</t>
  </si>
  <si>
    <t>Health Care Quality Improvement</t>
  </si>
  <si>
    <t>82505-01</t>
  </si>
  <si>
    <t>Interpretation/Translation Services</t>
  </si>
  <si>
    <t>83005-01</t>
  </si>
  <si>
    <t>Other Administrative Expenses*</t>
  </si>
  <si>
    <t>Subtotal Administrative Expenses</t>
  </si>
  <si>
    <t>83105-01</t>
  </si>
  <si>
    <t>Non-Title XIX/XXI Encounter Valuation Sanctions*</t>
  </si>
  <si>
    <t>83205-01</t>
  </si>
  <si>
    <t>Admin Expenses from Specialty and Other Grants*</t>
  </si>
  <si>
    <t>Total Administrative Expense</t>
  </si>
  <si>
    <t>Total Expenses</t>
  </si>
  <si>
    <t>Profit (Loss) from Operations</t>
  </si>
  <si>
    <t>Profit (Loss) from Non-Operating*</t>
  </si>
  <si>
    <t>Profit/(Loss) Before Taxes</t>
  </si>
  <si>
    <t>90105-01</t>
  </si>
  <si>
    <t>Income Taxes</t>
  </si>
  <si>
    <t>90205-01</t>
  </si>
  <si>
    <t>Premium Taxes</t>
  </si>
  <si>
    <t>90305-01</t>
  </si>
  <si>
    <t>Health Insurance Provider Fee</t>
  </si>
  <si>
    <t>Net Profit/(Loss)</t>
  </si>
  <si>
    <t>990105-01</t>
  </si>
  <si>
    <t>Community Reinvestment</t>
  </si>
  <si>
    <t>990205-01</t>
  </si>
  <si>
    <t>Non Covered Services</t>
  </si>
  <si>
    <t>Net Profit/(Loss) After CRI and Non Covered Services</t>
  </si>
  <si>
    <t>Account did not exist during this period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</si>
  <si>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Substance Use Disorder Services (SUDS).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</si>
  <si>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The Non-Title XIX/XI Other Column consisted of SUDS.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</si>
  <si>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Opioid State Targeted Response (STR); and State Youth Treatment (SYT).  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</si>
  <si>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State Opioid Response (SOR); Opioid STR and Medication Assisted Treatment  Prescription Drug and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</si>
  <si>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The Other Federal Column consisted of the following grants:  SOR; SOR Supplemental; Opioid STR and MAT-PDOA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</si>
  <si>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The Other Federal Column consisted of the following grants:  SOR; SOR Supplemental; and Opioid STR. 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</si>
  <si>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Pre-Admission Screening and Resident Review (PASRR) $3,900; Mental Health Block Grant, First Episode Psychosis (MHBG FEP) $474,973; </t>
    </r>
  </si>
  <si>
    <t xml:space="preserve">    Opioid Addiction Criminal Justice Project (MAT-PDOA).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</si>
  <si>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MHBG FEP $555,352; Substance Abuse Block Grant (SABG)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</si>
  <si>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Account 61105-01, Other Service Expenses Not Reported Above, consisted of the following expenses:  MHBG FEP $287,690; SABG $108,984; Opioid STR Grant $129,857; </t>
    </r>
  </si>
  <si>
    <t xml:space="preserve">  SYT $8,297 and Opioid STR Grant $512,318.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</si>
  <si>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Account 61105-01, Other Service Expenses Not Reported Above, consisted of the following expenses:   MHBG FEP $365,886; Opioid STR Grant $969,257; SOR $33,315;</t>
    </r>
  </si>
  <si>
    <t xml:space="preserve">    MAT-PDOA $1,831; MHBG Serious Emotional Disturbance (SED) One-Time $546,922; and PASRR $1,800.</t>
  </si>
  <si>
    <t xml:space="preserve"> </t>
  </si>
  <si>
    <t xml:space="preserve">   </t>
  </si>
  <si>
    <t xml:space="preserve">  $177,907; Opioid STR Grant $2,153,909; SOR $2,036,088; SOR Supplemental $36,258; MAT-PDOA $152,050 and PASRR $15,600.</t>
  </si>
  <si>
    <t xml:space="preserve">  SOR $1,417,387; SOR Supplemental $90,936; and PASRR $6,900.</t>
  </si>
  <si>
    <t>SFY 2018</t>
  </si>
  <si>
    <t>SFY 2019</t>
  </si>
  <si>
    <t>SFY 2020</t>
  </si>
  <si>
    <t>SFY 2021 YTD as of December 31, 2020 (Two Quarters)</t>
  </si>
  <si>
    <r>
      <t>Other Service Expenses Not Reported Above*</t>
    </r>
    <r>
      <rPr>
        <vertAlign val="superscript"/>
        <sz val="12"/>
        <rFont val="Arial"/>
        <family val="2"/>
      </rPr>
      <t>3</t>
    </r>
  </si>
  <si>
    <t xml:space="preserve">North GSA includes Gila County </t>
  </si>
  <si>
    <t>North GSA includes Apache, Coconino, Mohave, Navajo, Yavapai, and Gila Counties.</t>
  </si>
  <si>
    <t>CCE Non-Title XIX/XXI Data Supplement -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</si>
</sst>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_(* #,##0_);_(* \(#,##0\);_(* &quot;-&quot;??_);_(@_)"/>
    <numFmt numFmtId="166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vertAlign val="superscript"/>
      <sz val="12"/>
      <name val="Arial"/>
      <family val="2"/>
    </font>
    <font>
      <sz val="12"/>
      <color rgb="FFFF0000"/>
      <name val="Arial"/>
      <family val="2"/>
    </font>
    <font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164" fontId="0" fillId="0" borderId="0"/>
    <xf numFmtId="43" fontId="2" fillId="0" borderId="0" applyFont="0" applyFill="0" applyBorder="0" applyAlignment="0" applyProtection="0"/>
    <xf numFmtId="0" fontId="1" fillId="0" borderId="0"/>
    <xf numFmtId="164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164" fontId="0" fillId="0" borderId="0" xfId="0"/>
    <xf numFmtId="164" fontId="3" fillId="0" borderId="0" xfId="0" applyFont="1" applyAlignment="1" applyProtection="1">
      <alignment horizontal="center"/>
      <protection locked="0"/>
    </xf>
    <xf numFmtId="164" fontId="3" fillId="0" borderId="0" xfId="0" applyFont="1" applyProtection="1">
      <protection locked="0"/>
    </xf>
    <xf numFmtId="0" fontId="4" fillId="0" borderId="0" xfId="0" applyNumberFormat="1" applyFont="1" applyProtection="1">
      <protection locked="0"/>
    </xf>
    <xf numFmtId="164" fontId="4" fillId="0" borderId="0" xfId="0" applyFont="1" applyProtection="1">
      <protection locked="0"/>
    </xf>
    <xf numFmtId="164" fontId="4" fillId="0" borderId="0" xfId="0" applyFont="1" applyAlignment="1">
      <alignment horizontal="center"/>
    </xf>
    <xf numFmtId="164" fontId="4" fillId="0" borderId="1" xfId="0" applyFont="1" applyBorder="1" applyAlignment="1">
      <alignment horizontal="center" wrapText="1"/>
    </xf>
    <xf numFmtId="0" fontId="3" fillId="0" borderId="0" xfId="0" quotePrefix="1" applyNumberFormat="1" applyFont="1"/>
    <xf numFmtId="164" fontId="6" fillId="0" borderId="0" xfId="0" applyFont="1"/>
    <xf numFmtId="37" fontId="7" fillId="0" borderId="0" xfId="0" applyNumberFormat="1" applyFont="1" applyProtection="1">
      <protection locked="0"/>
    </xf>
    <xf numFmtId="0" fontId="3" fillId="0" borderId="0" xfId="2" applyFont="1" applyProtection="1">
      <protection locked="0"/>
    </xf>
    <xf numFmtId="0" fontId="4" fillId="0" borderId="0" xfId="2" applyFont="1"/>
    <xf numFmtId="165" fontId="3" fillId="0" borderId="0" xfId="1" applyNumberFormat="1" applyFont="1" applyFill="1" applyBorder="1" applyProtection="1"/>
    <xf numFmtId="165" fontId="4" fillId="0" borderId="0" xfId="1" applyNumberFormat="1" applyFont="1" applyProtection="1">
      <protection locked="0"/>
    </xf>
    <xf numFmtId="0" fontId="3" fillId="0" borderId="0" xfId="2" applyFont="1" applyAlignment="1">
      <alignment horizontal="left"/>
    </xf>
    <xf numFmtId="0" fontId="3" fillId="0" borderId="0" xfId="2" applyFont="1"/>
    <xf numFmtId="165" fontId="3" fillId="0" borderId="0" xfId="1" applyNumberFormat="1" applyFont="1" applyProtection="1">
      <protection locked="0"/>
    </xf>
    <xf numFmtId="0" fontId="3" fillId="0" borderId="0" xfId="3" applyNumberFormat="1" applyFont="1" applyAlignment="1">
      <alignment horizontal="left"/>
    </xf>
    <xf numFmtId="164" fontId="3" fillId="0" borderId="0" xfId="3" applyFont="1"/>
    <xf numFmtId="165" fontId="3" fillId="3" borderId="0" xfId="1" applyNumberFormat="1" applyFont="1" applyFill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 applyProtection="1">
      <protection locked="0"/>
    </xf>
    <xf numFmtId="0" fontId="3" fillId="0" borderId="0" xfId="2" applyFont="1" applyAlignment="1">
      <alignment horizontal="right"/>
    </xf>
    <xf numFmtId="37" fontId="3" fillId="0" borderId="0" xfId="2" applyNumberFormat="1" applyFont="1" applyAlignment="1">
      <alignment horizontal="right"/>
    </xf>
    <xf numFmtId="37" fontId="3" fillId="0" borderId="0" xfId="2" applyNumberFormat="1" applyFont="1"/>
    <xf numFmtId="37" fontId="3" fillId="0" borderId="0" xfId="2" applyNumberFormat="1" applyFont="1" applyAlignment="1">
      <alignment wrapText="1"/>
    </xf>
    <xf numFmtId="37" fontId="4" fillId="0" borderId="0" xfId="2" applyNumberFormat="1" applyFont="1"/>
    <xf numFmtId="37" fontId="4" fillId="0" borderId="0" xfId="2" applyNumberFormat="1" applyFont="1" applyAlignment="1">
      <alignment wrapText="1"/>
    </xf>
    <xf numFmtId="164" fontId="3" fillId="0" borderId="0" xfId="0" applyFont="1" applyAlignment="1">
      <alignment horizontal="left"/>
    </xf>
    <xf numFmtId="37" fontId="3" fillId="0" borderId="0" xfId="0" applyNumberFormat="1" applyFont="1"/>
    <xf numFmtId="37" fontId="4" fillId="0" borderId="0" xfId="2" applyNumberFormat="1" applyFont="1" applyAlignment="1">
      <alignment horizontal="left"/>
    </xf>
    <xf numFmtId="37" fontId="3" fillId="0" borderId="0" xfId="3" applyNumberFormat="1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top"/>
    </xf>
    <xf numFmtId="0" fontId="3" fillId="0" borderId="0" xfId="0" applyNumberFormat="1" applyFont="1" applyProtection="1">
      <protection locked="0"/>
    </xf>
    <xf numFmtId="0" fontId="6" fillId="0" borderId="0" xfId="0" applyNumberFormat="1" applyFont="1"/>
    <xf numFmtId="0" fontId="3" fillId="4" borderId="0" xfId="0" applyNumberFormat="1" applyFont="1" applyFill="1" applyProtection="1">
      <protection locked="0"/>
    </xf>
    <xf numFmtId="166" fontId="3" fillId="0" borderId="0" xfId="5" applyNumberFormat="1" applyFont="1" applyProtection="1">
      <protection locked="0"/>
    </xf>
    <xf numFmtId="166" fontId="3" fillId="3" borderId="0" xfId="5" applyNumberFormat="1" applyFont="1" applyFill="1" applyProtection="1">
      <protection locked="0"/>
    </xf>
    <xf numFmtId="166" fontId="3" fillId="0" borderId="2" xfId="5" applyNumberFormat="1" applyFont="1" applyBorder="1" applyProtection="1">
      <protection locked="0"/>
    </xf>
    <xf numFmtId="166" fontId="4" fillId="3" borderId="0" xfId="5" applyNumberFormat="1" applyFont="1" applyFill="1" applyProtection="1">
      <protection locked="0"/>
    </xf>
    <xf numFmtId="166" fontId="3" fillId="0" borderId="3" xfId="5" applyNumberFormat="1" applyFont="1" applyBorder="1" applyProtection="1">
      <protection locked="0"/>
    </xf>
    <xf numFmtId="166" fontId="3" fillId="0" borderId="4" xfId="5" applyNumberFormat="1" applyFont="1" applyBorder="1" applyProtection="1">
      <protection locked="0"/>
    </xf>
    <xf numFmtId="166" fontId="3" fillId="4" borderId="0" xfId="5" applyNumberFormat="1" applyFont="1" applyFill="1" applyProtection="1">
      <protection locked="0"/>
    </xf>
    <xf numFmtId="164" fontId="3" fillId="0" borderId="0" xfId="0" applyFont="1" applyFill="1" applyProtection="1">
      <protection locked="0"/>
    </xf>
    <xf numFmtId="166" fontId="3" fillId="0" borderId="0" xfId="5" applyNumberFormat="1" applyFont="1" applyFill="1" applyProtection="1">
      <protection locked="0"/>
    </xf>
    <xf numFmtId="165" fontId="3" fillId="0" borderId="0" xfId="1" applyNumberFormat="1" applyFont="1" applyFill="1" applyProtection="1">
      <protection locked="0"/>
    </xf>
    <xf numFmtId="166" fontId="3" fillId="5" borderId="0" xfId="5" applyNumberFormat="1" applyFont="1" applyFill="1" applyProtection="1">
      <protection locked="0"/>
    </xf>
    <xf numFmtId="164" fontId="3" fillId="5" borderId="0" xfId="0" applyFont="1" applyFill="1" applyProtection="1">
      <protection locked="0"/>
    </xf>
    <xf numFmtId="164" fontId="9" fillId="5" borderId="0" xfId="0" applyFont="1" applyFill="1" applyProtection="1">
      <protection locked="0"/>
    </xf>
    <xf numFmtId="165" fontId="4" fillId="0" borderId="0" xfId="1" applyNumberFormat="1" applyFont="1" applyFill="1" applyBorder="1" applyProtection="1"/>
    <xf numFmtId="164" fontId="9" fillId="0" borderId="0" xfId="0" applyFont="1" applyFill="1" applyProtection="1">
      <protection locked="0"/>
    </xf>
    <xf numFmtId="164" fontId="3" fillId="6" borderId="0" xfId="0" applyFont="1" applyFill="1" applyProtection="1">
      <protection locked="0"/>
    </xf>
    <xf numFmtId="164" fontId="5" fillId="6" borderId="0" xfId="0" applyFont="1" applyFill="1" applyAlignment="1" applyProtection="1">
      <alignment horizontal="center"/>
      <protection locked="0"/>
    </xf>
    <xf numFmtId="164" fontId="4" fillId="6" borderId="0" xfId="0" applyFont="1" applyFill="1" applyBorder="1" applyAlignment="1">
      <alignment horizontal="center" wrapText="1"/>
    </xf>
    <xf numFmtId="37" fontId="7" fillId="6" borderId="0" xfId="0" applyNumberFormat="1" applyFont="1" applyFill="1" applyBorder="1" applyProtection="1">
      <protection locked="0"/>
    </xf>
    <xf numFmtId="165" fontId="3" fillId="6" borderId="0" xfId="1" applyNumberFormat="1" applyFont="1" applyFill="1" applyBorder="1" applyProtection="1"/>
    <xf numFmtId="166" fontId="4" fillId="6" borderId="0" xfId="5" applyNumberFormat="1" applyFont="1" applyFill="1" applyBorder="1" applyProtection="1">
      <protection locked="0"/>
    </xf>
    <xf numFmtId="166" fontId="3" fillId="6" borderId="0" xfId="5" applyNumberFormat="1" applyFont="1" applyFill="1" applyBorder="1" applyProtection="1">
      <protection locked="0"/>
    </xf>
    <xf numFmtId="166" fontId="3" fillId="6" borderId="0" xfId="5" applyNumberFormat="1" applyFont="1" applyFill="1" applyProtection="1">
      <protection locked="0"/>
    </xf>
    <xf numFmtId="165" fontId="3" fillId="6" borderId="0" xfId="1" applyNumberFormat="1" applyFont="1" applyFill="1" applyProtection="1">
      <protection locked="0"/>
    </xf>
    <xf numFmtId="164" fontId="4" fillId="6" borderId="0" xfId="0" applyFont="1" applyFill="1" applyProtection="1">
      <protection locked="0"/>
    </xf>
    <xf numFmtId="165" fontId="4" fillId="6" borderId="0" xfId="1" applyNumberFormat="1" applyFont="1" applyFill="1" applyProtection="1">
      <protection locked="0"/>
    </xf>
    <xf numFmtId="166" fontId="4" fillId="6" borderId="0" xfId="5" applyNumberFormat="1" applyFont="1" applyFill="1" applyProtection="1">
      <protection locked="0"/>
    </xf>
    <xf numFmtId="164" fontId="4" fillId="0" borderId="0" xfId="0" applyFont="1"/>
    <xf numFmtId="164" fontId="5" fillId="2" borderId="0" xfId="0" applyFont="1" applyFill="1" applyAlignment="1" applyProtection="1">
      <alignment horizontal="center"/>
      <protection locked="0"/>
    </xf>
    <xf numFmtId="164" fontId="4" fillId="0" borderId="0" xfId="0" applyFont="1" applyAlignment="1"/>
  </cellXfs>
  <cellStyles count="6">
    <cellStyle name="Comma" xfId="1" builtinId="3"/>
    <cellStyle name="Comma 2" xfId="4" xr:uid="{126F50D8-A827-4C56-872F-4F17DAFADD08}"/>
    <cellStyle name="Currency" xfId="5" builtinId="4"/>
    <cellStyle name="Normal" xfId="0" builtinId="0"/>
    <cellStyle name="Normal 2 2" xfId="3" xr:uid="{E8C2C31E-ECCF-4904-A74A-1ACA864E6191}"/>
    <cellStyle name="Normal 3 2" xfId="2" xr:uid="{0B816A37-C86E-4C54-8BCA-DA3D2ECC5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hcccs.sharepoint.com/wc%20cce%202020-06%20HCA%20RBHA%20REV%209%2016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 Statement A"/>
      <sheetName val="Instructions &amp; Audit Report B"/>
      <sheetName val="FS-Balance Sheet C-1"/>
      <sheetName val="FS-Statement of Activities C-2"/>
      <sheetName val="FS-Stmnt Act Disclosure C-2a"/>
      <sheetName val="FS-TXIX Stmnt Act Summary C-2b"/>
      <sheetName val="FS-NTXIX Stmt Act Summary C-2c "/>
      <sheetName val="FS-SFY Stmt of Activities C-3"/>
      <sheetName val="FS-SFY Stmt Act Disclsre C-3a"/>
      <sheetName val="FS-SFY Revenue Recon C-3b"/>
      <sheetName val="NTXIX Allocation Tracking C-3c"/>
      <sheetName val="NTXIX Profit Limit"/>
      <sheetName val="TXIX Recon"/>
      <sheetName val="FS-Footnotes D"/>
      <sheetName val="Financial Viability E"/>
      <sheetName val="Receivables &amp; Payables E-1"/>
      <sheetName val="Payables to Providers E-1a+"/>
      <sheetName val="Other Assets E-2"/>
      <sheetName val="Other Liabilities E-3"/>
      <sheetName val="APM E-3a"/>
      <sheetName val="Lag Reports E-4"/>
      <sheetName val="Long Term Debt E-5"/>
      <sheetName val="Grant Disclosures E-6"/>
      <sheetName val="Sub-Capitated Expenses E-7a"/>
      <sheetName val="Sub-Capitated Detail E-7b"/>
      <sheetName val="Block Expenses E-7c"/>
      <sheetName val="Block Expenses Detail E-7d"/>
      <sheetName val="Prior CY Adj BS E-8a"/>
      <sheetName val="Prior CY Adj SOA E-8b"/>
      <sheetName val="Parent Balance Sheet E-10a"/>
      <sheetName val="Parent Revenue &amp; Expense E-10b"/>
      <sheetName val="Appendix F Instructions"/>
      <sheetName val="Balance Sheet F-1a"/>
      <sheetName val="Statement of Activities F-1b"/>
      <sheetName val="Entries F-1c"/>
      <sheetName val="Audited Annual SOA F-1d"/>
      <sheetName val="Audited Annual SOA Discl F-1e"/>
      <sheetName val="MLR H-1"/>
      <sheetName val="MLR Proof H-2"/>
      <sheetName val="CRI Calculation"/>
      <sheetName val="RX Rebates Repor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D8155-FDDB-42EA-A0B6-7533F535B54F}">
  <dimension ref="A1:FO186"/>
  <sheetViews>
    <sheetView tabSelected="1" zoomScale="55" zoomScaleNormal="55"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ColWidth="9.1796875" defaultRowHeight="15.5" x14ac:dyDescent="0.35"/>
  <cols>
    <col min="1" max="1" width="11.26953125" style="34" customWidth="1"/>
    <col min="2" max="2" width="4" style="2" customWidth="1"/>
    <col min="3" max="3" width="69.453125" style="2" customWidth="1"/>
    <col min="4" max="14" width="14.54296875" style="2" customWidth="1"/>
    <col min="15" max="15" width="7.7265625" style="52" customWidth="1"/>
    <col min="16" max="25" width="14.54296875" style="2" customWidth="1"/>
    <col min="26" max="26" width="17.453125" style="2" customWidth="1"/>
    <col min="27" max="27" width="9.1796875" style="52" customWidth="1"/>
    <col min="28" max="38" width="14.54296875" style="2" customWidth="1"/>
    <col min="39" max="39" width="9.1796875" style="52" customWidth="1"/>
    <col min="40" max="51" width="14.54296875" style="2" customWidth="1"/>
    <col min="52" max="54" width="9.1796875" style="2" customWidth="1"/>
    <col min="55" max="16384" width="9.1796875" style="2"/>
  </cols>
  <sheetData>
    <row r="1" spans="1:171" x14ac:dyDescent="0.35">
      <c r="A1" s="35" t="s">
        <v>307</v>
      </c>
      <c r="B1" s="1"/>
      <c r="C1" s="1"/>
    </row>
    <row r="2" spans="1:171" x14ac:dyDescent="0.35">
      <c r="A2" s="35" t="s">
        <v>0</v>
      </c>
      <c r="B2" s="1"/>
      <c r="C2" s="1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</row>
    <row r="3" spans="1:171" x14ac:dyDescent="0.35">
      <c r="A3" s="3"/>
      <c r="P3" s="49"/>
      <c r="Q3" s="48"/>
      <c r="R3" s="48"/>
      <c r="S3" s="48"/>
      <c r="T3" s="48"/>
      <c r="U3" s="48"/>
      <c r="V3" s="48"/>
      <c r="W3" s="48"/>
      <c r="X3" s="48"/>
      <c r="Y3" s="48"/>
      <c r="Z3" s="48"/>
      <c r="AB3" s="51"/>
      <c r="AC3" s="44"/>
      <c r="AD3" s="44"/>
      <c r="AE3" s="44"/>
      <c r="AF3" s="44"/>
      <c r="AG3" s="44"/>
      <c r="AH3" s="44"/>
      <c r="AI3" s="44"/>
      <c r="AJ3" s="44"/>
      <c r="AK3" s="44"/>
      <c r="AL3" s="44"/>
      <c r="AN3" s="51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171" x14ac:dyDescent="0.35">
      <c r="A4" s="66"/>
      <c r="B4" s="66"/>
      <c r="C4" s="66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</row>
    <row r="5" spans="1:171" x14ac:dyDescent="0.35">
      <c r="A5" s="64"/>
      <c r="B5" s="64"/>
      <c r="C5" s="64"/>
      <c r="D5" s="65" t="s">
        <v>300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53"/>
      <c r="P5" s="65" t="s">
        <v>301</v>
      </c>
      <c r="Q5" s="65"/>
      <c r="R5" s="65"/>
      <c r="S5" s="65"/>
      <c r="T5" s="65"/>
      <c r="U5" s="65"/>
      <c r="V5" s="65"/>
      <c r="W5" s="65"/>
      <c r="X5" s="65"/>
      <c r="Y5" s="65"/>
      <c r="Z5" s="65"/>
      <c r="AB5" s="65" t="s">
        <v>302</v>
      </c>
      <c r="AC5" s="65"/>
      <c r="AD5" s="65"/>
      <c r="AE5" s="65"/>
      <c r="AF5" s="65"/>
      <c r="AG5" s="65"/>
      <c r="AH5" s="65"/>
      <c r="AI5" s="65"/>
      <c r="AJ5" s="65"/>
      <c r="AK5" s="65"/>
      <c r="AL5" s="65"/>
      <c r="AN5" s="65" t="s">
        <v>303</v>
      </c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</row>
    <row r="6" spans="1:171" ht="47.15" customHeight="1" x14ac:dyDescent="0.35">
      <c r="A6" s="3"/>
      <c r="B6" s="4"/>
      <c r="C6" s="5"/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54"/>
      <c r="P6" s="6" t="s">
        <v>1</v>
      </c>
      <c r="Q6" s="6" t="s">
        <v>2</v>
      </c>
      <c r="R6" s="6" t="s">
        <v>3</v>
      </c>
      <c r="S6" s="6" t="s">
        <v>4</v>
      </c>
      <c r="T6" s="6" t="s">
        <v>5</v>
      </c>
      <c r="U6" s="6" t="s">
        <v>6</v>
      </c>
      <c r="V6" s="6" t="s">
        <v>7</v>
      </c>
      <c r="W6" s="6" t="s">
        <v>8</v>
      </c>
      <c r="X6" s="6" t="s">
        <v>9</v>
      </c>
      <c r="Y6" s="6" t="s">
        <v>10</v>
      </c>
      <c r="Z6" s="6" t="s">
        <v>11</v>
      </c>
      <c r="AB6" s="6" t="s">
        <v>1</v>
      </c>
      <c r="AC6" s="6" t="s">
        <v>2</v>
      </c>
      <c r="AD6" s="6" t="s">
        <v>3</v>
      </c>
      <c r="AE6" s="6" t="s">
        <v>4</v>
      </c>
      <c r="AF6" s="6" t="s">
        <v>5</v>
      </c>
      <c r="AG6" s="6" t="s">
        <v>6</v>
      </c>
      <c r="AH6" s="6" t="s">
        <v>7</v>
      </c>
      <c r="AI6" s="6" t="s">
        <v>8</v>
      </c>
      <c r="AJ6" s="6" t="s">
        <v>9</v>
      </c>
      <c r="AK6" s="6" t="s">
        <v>10</v>
      </c>
      <c r="AL6" s="6" t="s">
        <v>11</v>
      </c>
      <c r="AN6" s="6" t="s">
        <v>1</v>
      </c>
      <c r="AO6" s="6" t="s">
        <v>2</v>
      </c>
      <c r="AP6" s="6" t="s">
        <v>3</v>
      </c>
      <c r="AQ6" s="6" t="s">
        <v>4</v>
      </c>
      <c r="AR6" s="6" t="s">
        <v>5</v>
      </c>
      <c r="AS6" s="6" t="s">
        <v>6</v>
      </c>
      <c r="AT6" s="6" t="s">
        <v>12</v>
      </c>
      <c r="AU6" s="6" t="s">
        <v>7</v>
      </c>
      <c r="AV6" s="6" t="s">
        <v>8</v>
      </c>
      <c r="AW6" s="6" t="s">
        <v>9</v>
      </c>
      <c r="AX6" s="6" t="s">
        <v>10</v>
      </c>
      <c r="AY6" s="6" t="s">
        <v>11</v>
      </c>
    </row>
    <row r="7" spans="1:171" s="4" customFormat="1" ht="15" customHeight="1" x14ac:dyDescent="0.35">
      <c r="A7" s="7"/>
      <c r="B7" s="64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5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1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1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171" s="4" customFormat="1" ht="15" customHeight="1" x14ac:dyDescent="0.35">
      <c r="A8" s="10"/>
      <c r="B8" s="11"/>
      <c r="C8" s="11" t="s">
        <v>13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56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62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62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</row>
    <row r="9" spans="1:171" s="4" customFormat="1" x14ac:dyDescent="0.35">
      <c r="A9" s="14" t="s">
        <v>14</v>
      </c>
      <c r="B9" s="15"/>
      <c r="C9" s="15" t="s">
        <v>15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f>SUM(D9:M9)</f>
        <v>0</v>
      </c>
      <c r="O9" s="57"/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f>SUM(P9:Y9)</f>
        <v>0</v>
      </c>
      <c r="AA9" s="59"/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7">
        <v>0</v>
      </c>
      <c r="AL9" s="37">
        <f t="shared" ref="AL9:AL14" si="0">SUM(AB9:AK9)</f>
        <v>0</v>
      </c>
      <c r="AM9" s="60"/>
      <c r="AN9" s="37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37">
        <v>0</v>
      </c>
      <c r="AV9" s="37">
        <v>0</v>
      </c>
      <c r="AW9" s="37">
        <v>0</v>
      </c>
      <c r="AX9" s="37">
        <v>0</v>
      </c>
      <c r="AY9" s="37">
        <f>SUM(AN9:AX9)</f>
        <v>0</v>
      </c>
      <c r="AZ9" s="16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</row>
    <row r="10" spans="1:171" ht="15" customHeight="1" x14ac:dyDescent="0.35">
      <c r="A10" s="17" t="s">
        <v>16</v>
      </c>
      <c r="B10" s="18"/>
      <c r="C10" s="18" t="s">
        <v>17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f>SUM(D10:M10)</f>
        <v>0</v>
      </c>
      <c r="O10" s="5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59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60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</row>
    <row r="11" spans="1:171" ht="15" customHeight="1" x14ac:dyDescent="0.35">
      <c r="A11" s="14" t="s">
        <v>18</v>
      </c>
      <c r="B11" s="15"/>
      <c r="C11" s="15" t="s">
        <v>19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5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59"/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f t="shared" si="0"/>
        <v>0</v>
      </c>
      <c r="AM11" s="60"/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f>SUM(AN11:AX11)</f>
        <v>0</v>
      </c>
      <c r="AZ11" s="46"/>
      <c r="BA11" s="46"/>
      <c r="BB11" s="46"/>
      <c r="BC11" s="46"/>
      <c r="BD11" s="46"/>
      <c r="BE11" s="46"/>
      <c r="BF11" s="46"/>
      <c r="BG11" s="46"/>
      <c r="BH11" s="4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</row>
    <row r="12" spans="1:171" ht="15" customHeight="1" x14ac:dyDescent="0.35">
      <c r="A12" s="14" t="s">
        <v>20</v>
      </c>
      <c r="B12" s="15"/>
      <c r="C12" s="15" t="s">
        <v>21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f>SUM(D12:M12)</f>
        <v>0</v>
      </c>
      <c r="O12" s="58"/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f>SUM(P12:Y12)</f>
        <v>0</v>
      </c>
      <c r="AA12" s="59"/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f t="shared" si="0"/>
        <v>0</v>
      </c>
      <c r="AM12" s="60"/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f>SUM(AN12:AX12)</f>
        <v>0</v>
      </c>
      <c r="AZ12" s="46"/>
      <c r="BA12" s="46"/>
      <c r="BB12" s="46"/>
      <c r="BC12" s="46"/>
      <c r="BD12" s="46"/>
      <c r="BE12" s="46"/>
      <c r="BF12" s="46"/>
      <c r="BG12" s="46"/>
      <c r="BH12" s="4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</row>
    <row r="13" spans="1:171" ht="15" customHeight="1" x14ac:dyDescent="0.35">
      <c r="A13" s="14" t="s">
        <v>22</v>
      </c>
      <c r="B13" s="15"/>
      <c r="C13" s="15" t="s">
        <v>23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f>SUM(D13:M13)</f>
        <v>0</v>
      </c>
      <c r="O13" s="58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59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60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46"/>
      <c r="BA13" s="46"/>
      <c r="BB13" s="46"/>
      <c r="BC13" s="46"/>
      <c r="BD13" s="46"/>
      <c r="BE13" s="46"/>
      <c r="BF13" s="46"/>
      <c r="BG13" s="46"/>
      <c r="BH13" s="4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</row>
    <row r="14" spans="1:171" ht="15" customHeight="1" x14ac:dyDescent="0.35">
      <c r="A14" s="14" t="s">
        <v>22</v>
      </c>
      <c r="B14" s="15"/>
      <c r="C14" s="15" t="s">
        <v>24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58"/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f t="shared" ref="Z14" si="1">SUM(P14:Y14)</f>
        <v>0</v>
      </c>
      <c r="AA14" s="59"/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f t="shared" si="0"/>
        <v>0</v>
      </c>
      <c r="AM14" s="60"/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f t="shared" ref="AY14" si="2">SUM(AN14:AX14)</f>
        <v>0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</row>
    <row r="15" spans="1:171" ht="15" customHeight="1" x14ac:dyDescent="0.35">
      <c r="A15" s="14" t="s">
        <v>25</v>
      </c>
      <c r="B15" s="15"/>
      <c r="C15" s="15" t="s">
        <v>26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ref="N15:N17" si="3">SUM(D15:M15)</f>
        <v>0</v>
      </c>
      <c r="O15" s="58"/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f t="shared" ref="Z15:Z20" si="4">SUM(P15:Y15)</f>
        <v>0</v>
      </c>
      <c r="AA15" s="59"/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f t="shared" ref="AL15:AL20" si="5">SUM(AB15:AK15)</f>
        <v>0</v>
      </c>
      <c r="AM15" s="60"/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f t="shared" ref="AY15:AY20" si="6">SUM(AN15:AX15)</f>
        <v>0</v>
      </c>
      <c r="AZ15" s="46"/>
      <c r="BA15" s="46"/>
      <c r="BB15" s="46"/>
      <c r="BC15" s="46"/>
      <c r="BD15" s="46"/>
      <c r="BE15" s="46"/>
      <c r="BF15" s="46"/>
      <c r="BG15" s="46"/>
      <c r="BH15" s="4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</row>
    <row r="16" spans="1:171" ht="15" customHeight="1" x14ac:dyDescent="0.35">
      <c r="A16" s="14" t="s">
        <v>27</v>
      </c>
      <c r="B16" s="15"/>
      <c r="C16" s="15" t="s">
        <v>28</v>
      </c>
      <c r="D16" s="37">
        <v>2329839</v>
      </c>
      <c r="E16" s="37">
        <v>7060172</v>
      </c>
      <c r="F16" s="37">
        <v>41987</v>
      </c>
      <c r="G16" s="37">
        <v>378748</v>
      </c>
      <c r="H16" s="37">
        <v>852920</v>
      </c>
      <c r="I16" s="37">
        <v>961649</v>
      </c>
      <c r="J16" s="37">
        <v>4815874</v>
      </c>
      <c r="K16" s="37">
        <v>565885</v>
      </c>
      <c r="L16" s="37">
        <v>1395958</v>
      </c>
      <c r="M16" s="37">
        <v>3900</v>
      </c>
      <c r="N16" s="37">
        <f t="shared" si="3"/>
        <v>18406932</v>
      </c>
      <c r="O16" s="58"/>
      <c r="P16" s="37">
        <v>1747379.25</v>
      </c>
      <c r="Q16" s="37">
        <v>5295129</v>
      </c>
      <c r="R16" s="37">
        <v>661445.37</v>
      </c>
      <c r="S16" s="37">
        <v>0</v>
      </c>
      <c r="T16" s="37">
        <v>1404151.4</v>
      </c>
      <c r="U16" s="37">
        <v>740922.75</v>
      </c>
      <c r="V16" s="37">
        <v>3409856.63</v>
      </c>
      <c r="W16" s="37">
        <v>1057068.54</v>
      </c>
      <c r="X16" s="37">
        <v>1400000</v>
      </c>
      <c r="Y16" s="37">
        <v>1800</v>
      </c>
      <c r="Z16" s="37">
        <f t="shared" si="4"/>
        <v>15717752.939999998</v>
      </c>
      <c r="AA16" s="59"/>
      <c r="AB16" s="37">
        <v>2329840</v>
      </c>
      <c r="AC16" s="37">
        <v>6352529</v>
      </c>
      <c r="AD16" s="37">
        <v>621629</v>
      </c>
      <c r="AE16" s="37">
        <v>263149</v>
      </c>
      <c r="AF16" s="37">
        <v>1779120</v>
      </c>
      <c r="AG16" s="37">
        <v>1272660</v>
      </c>
      <c r="AH16" s="37">
        <v>4371816</v>
      </c>
      <c r="AI16" s="37">
        <v>4734431</v>
      </c>
      <c r="AJ16" s="37">
        <v>1200000</v>
      </c>
      <c r="AK16" s="37">
        <v>15600</v>
      </c>
      <c r="AL16" s="37">
        <f t="shared" si="5"/>
        <v>22940774</v>
      </c>
      <c r="AM16" s="60"/>
      <c r="AN16" s="37">
        <f>582460+582460</f>
        <v>1164920</v>
      </c>
      <c r="AO16" s="37">
        <f>1588132+1588132</f>
        <v>3176264</v>
      </c>
      <c r="AP16" s="37">
        <f>43812+55755</f>
        <v>99567</v>
      </c>
      <c r="AQ16" s="37">
        <f>77391</f>
        <v>77391</v>
      </c>
      <c r="AR16" s="37">
        <f>418328+418328</f>
        <v>836656</v>
      </c>
      <c r="AS16" s="37">
        <f>210009+1+210009</f>
        <v>420019</v>
      </c>
      <c r="AT16" s="37">
        <f>162868+162868</f>
        <v>325736</v>
      </c>
      <c r="AU16" s="37">
        <f>1093922+1093922</f>
        <v>2187844</v>
      </c>
      <c r="AV16" s="37">
        <f>1424682+412939</f>
        <v>1837621</v>
      </c>
      <c r="AW16" s="37">
        <f>300000+300000</f>
        <v>600000</v>
      </c>
      <c r="AX16" s="37">
        <f>4800+2100</f>
        <v>6900</v>
      </c>
      <c r="AY16" s="37">
        <f>SUM(AN16:AX16)</f>
        <v>10732918</v>
      </c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</row>
    <row r="17" spans="1:171" ht="15" customHeight="1" x14ac:dyDescent="0.35">
      <c r="A17" s="14" t="s">
        <v>29</v>
      </c>
      <c r="B17" s="15"/>
      <c r="C17" s="15" t="s">
        <v>30</v>
      </c>
      <c r="D17" s="37">
        <v>0</v>
      </c>
      <c r="E17" s="37">
        <v>0</v>
      </c>
      <c r="F17" s="37">
        <v>373780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269543</v>
      </c>
      <c r="N17" s="37">
        <f t="shared" si="3"/>
        <v>643323</v>
      </c>
      <c r="O17" s="58"/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f t="shared" si="4"/>
        <v>0</v>
      </c>
      <c r="AA17" s="59"/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f t="shared" si="5"/>
        <v>0</v>
      </c>
      <c r="AM17" s="60"/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f t="shared" si="6"/>
        <v>0</v>
      </c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</row>
    <row r="18" spans="1:171" ht="15" customHeight="1" x14ac:dyDescent="0.35">
      <c r="A18" s="14" t="s">
        <v>31</v>
      </c>
      <c r="B18" s="15"/>
      <c r="C18" s="15" t="s">
        <v>32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58"/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f t="shared" si="4"/>
        <v>0</v>
      </c>
      <c r="AA18" s="59"/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f t="shared" si="5"/>
        <v>0</v>
      </c>
      <c r="AM18" s="60"/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f t="shared" si="6"/>
        <v>0</v>
      </c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</row>
    <row r="19" spans="1:171" ht="15" customHeight="1" x14ac:dyDescent="0.35">
      <c r="A19" s="14" t="s">
        <v>33</v>
      </c>
      <c r="B19" s="15"/>
      <c r="C19" s="15" t="s">
        <v>34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58"/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f t="shared" si="4"/>
        <v>0</v>
      </c>
      <c r="AA19" s="59"/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f t="shared" si="5"/>
        <v>0</v>
      </c>
      <c r="AM19" s="60"/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f t="shared" si="6"/>
        <v>0</v>
      </c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</row>
    <row r="20" spans="1:171" ht="15" customHeight="1" x14ac:dyDescent="0.35">
      <c r="A20" s="14" t="s">
        <v>35</v>
      </c>
      <c r="B20" s="15"/>
      <c r="C20" s="15" t="s">
        <v>36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58"/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f t="shared" si="4"/>
        <v>0</v>
      </c>
      <c r="AA20" s="59"/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f t="shared" si="5"/>
        <v>0</v>
      </c>
      <c r="AM20" s="60"/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f t="shared" si="6"/>
        <v>0</v>
      </c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</row>
    <row r="21" spans="1:171" ht="15" customHeight="1" x14ac:dyDescent="0.35">
      <c r="A21" s="20">
        <v>49999</v>
      </c>
      <c r="B21" s="11"/>
      <c r="C21" s="11" t="s">
        <v>37</v>
      </c>
      <c r="D21" s="39">
        <f>SUM(D9:D20)</f>
        <v>2329839</v>
      </c>
      <c r="E21" s="39">
        <f>SUM(E9:E20)</f>
        <v>7060172</v>
      </c>
      <c r="F21" s="39">
        <f t="shared" ref="F21:M21" si="7">SUM(F9:F20)</f>
        <v>415767</v>
      </c>
      <c r="G21" s="39">
        <f t="shared" si="7"/>
        <v>378748</v>
      </c>
      <c r="H21" s="39">
        <f t="shared" si="7"/>
        <v>852920</v>
      </c>
      <c r="I21" s="39">
        <f t="shared" si="7"/>
        <v>961649</v>
      </c>
      <c r="J21" s="39">
        <f t="shared" si="7"/>
        <v>4815874</v>
      </c>
      <c r="K21" s="39">
        <f t="shared" si="7"/>
        <v>565885</v>
      </c>
      <c r="L21" s="39">
        <f t="shared" si="7"/>
        <v>1395958</v>
      </c>
      <c r="M21" s="39">
        <f t="shared" si="7"/>
        <v>273443</v>
      </c>
      <c r="N21" s="39">
        <f>SUM(N9:N20)</f>
        <v>19050255</v>
      </c>
      <c r="O21" s="58"/>
      <c r="P21" s="39">
        <f>SUM(P12:P20)</f>
        <v>1747379.25</v>
      </c>
      <c r="Q21" s="39">
        <f>SUM(Q12:Q20)</f>
        <v>5295129</v>
      </c>
      <c r="R21" s="39">
        <f>SUM(R12:R20)</f>
        <v>661445.37</v>
      </c>
      <c r="S21" s="39">
        <f>SUM(S9:S20)</f>
        <v>0</v>
      </c>
      <c r="T21" s="39">
        <f t="shared" ref="T21:Y21" si="8">SUM(T12:T20)</f>
        <v>1404151.4</v>
      </c>
      <c r="U21" s="39">
        <f t="shared" si="8"/>
        <v>740922.75</v>
      </c>
      <c r="V21" s="39">
        <f t="shared" si="8"/>
        <v>3409856.63</v>
      </c>
      <c r="W21" s="39">
        <f t="shared" si="8"/>
        <v>1057068.54</v>
      </c>
      <c r="X21" s="39">
        <f t="shared" si="8"/>
        <v>1400000</v>
      </c>
      <c r="Y21" s="39">
        <f t="shared" si="8"/>
        <v>1800</v>
      </c>
      <c r="Z21" s="39">
        <f>SUM(Z9:Z20)</f>
        <v>15717752.939999998</v>
      </c>
      <c r="AA21" s="59"/>
      <c r="AB21" s="39">
        <f t="shared" ref="AB21:AL21" si="9">SUM(AB9:AB20)</f>
        <v>2329840</v>
      </c>
      <c r="AC21" s="39">
        <f t="shared" si="9"/>
        <v>6352529</v>
      </c>
      <c r="AD21" s="39">
        <f t="shared" si="9"/>
        <v>621629</v>
      </c>
      <c r="AE21" s="39">
        <f t="shared" si="9"/>
        <v>263149</v>
      </c>
      <c r="AF21" s="39">
        <f t="shared" si="9"/>
        <v>1779120</v>
      </c>
      <c r="AG21" s="39">
        <f t="shared" si="9"/>
        <v>1272660</v>
      </c>
      <c r="AH21" s="39">
        <f t="shared" si="9"/>
        <v>4371816</v>
      </c>
      <c r="AI21" s="39">
        <f t="shared" si="9"/>
        <v>4734431</v>
      </c>
      <c r="AJ21" s="39">
        <f t="shared" si="9"/>
        <v>1200000</v>
      </c>
      <c r="AK21" s="39">
        <f t="shared" si="9"/>
        <v>15600</v>
      </c>
      <c r="AL21" s="39">
        <f t="shared" si="9"/>
        <v>22940774</v>
      </c>
      <c r="AM21" s="60"/>
      <c r="AN21" s="39">
        <f t="shared" ref="AN21:AY21" si="10">SUM(AN9:AN20)</f>
        <v>1164920</v>
      </c>
      <c r="AO21" s="39">
        <f t="shared" si="10"/>
        <v>3176264</v>
      </c>
      <c r="AP21" s="39">
        <f t="shared" si="10"/>
        <v>99567</v>
      </c>
      <c r="AQ21" s="39">
        <f t="shared" si="10"/>
        <v>77391</v>
      </c>
      <c r="AR21" s="39">
        <f t="shared" si="10"/>
        <v>836656</v>
      </c>
      <c r="AS21" s="39">
        <f t="shared" si="10"/>
        <v>420019</v>
      </c>
      <c r="AT21" s="39">
        <f t="shared" si="10"/>
        <v>325736</v>
      </c>
      <c r="AU21" s="39">
        <f t="shared" si="10"/>
        <v>2187844</v>
      </c>
      <c r="AV21" s="39">
        <f t="shared" si="10"/>
        <v>1837621</v>
      </c>
      <c r="AW21" s="39">
        <f t="shared" si="10"/>
        <v>600000</v>
      </c>
      <c r="AX21" s="39">
        <f t="shared" si="10"/>
        <v>6900</v>
      </c>
      <c r="AY21" s="39">
        <f t="shared" si="10"/>
        <v>10732918</v>
      </c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</row>
    <row r="22" spans="1:171" ht="15" customHeight="1" x14ac:dyDescent="0.35">
      <c r="A22" s="21"/>
      <c r="B22" s="20"/>
      <c r="C22" s="20" t="s">
        <v>38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5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59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60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</row>
    <row r="23" spans="1:171" s="4" customFormat="1" ht="15" customHeight="1" x14ac:dyDescent="0.35">
      <c r="A23" s="10"/>
      <c r="B23" s="20"/>
      <c r="C23" s="20" t="s">
        <v>39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5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63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62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</row>
    <row r="24" spans="1:171" ht="15" customHeight="1" x14ac:dyDescent="0.35">
      <c r="A24" s="14"/>
      <c r="B24" s="22"/>
      <c r="C24" s="11" t="s">
        <v>40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5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59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60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</row>
    <row r="25" spans="1:171" ht="15" customHeight="1" x14ac:dyDescent="0.35">
      <c r="A25" s="14" t="s">
        <v>41</v>
      </c>
      <c r="B25" s="23"/>
      <c r="C25" s="24" t="s">
        <v>42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5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59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60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</row>
    <row r="26" spans="1:171" ht="15" customHeight="1" x14ac:dyDescent="0.35">
      <c r="A26" s="14"/>
      <c r="B26" s="23" t="s">
        <v>43</v>
      </c>
      <c r="C26" s="24" t="s">
        <v>44</v>
      </c>
      <c r="D26" s="37">
        <f>2834+2720+1946-428+2165</f>
        <v>9237</v>
      </c>
      <c r="E26" s="37">
        <f>58301+122139+186665-46301+128441-1</f>
        <v>449244</v>
      </c>
      <c r="F26" s="37">
        <v>2791</v>
      </c>
      <c r="G26" s="37">
        <v>0</v>
      </c>
      <c r="H26" s="37">
        <f>24501+33150+38486+34178+1</f>
        <v>130316</v>
      </c>
      <c r="I26" s="37">
        <f>2061</f>
        <v>2061</v>
      </c>
      <c r="J26" s="37">
        <f>99130+99280+86166+77935</f>
        <v>362511</v>
      </c>
      <c r="K26" s="37">
        <v>0</v>
      </c>
      <c r="L26" s="37">
        <v>0</v>
      </c>
      <c r="M26" s="37">
        <v>0</v>
      </c>
      <c r="N26" s="37">
        <f>SUM(D26:M26)</f>
        <v>956160</v>
      </c>
      <c r="O26" s="58"/>
      <c r="P26" s="37">
        <f>5498+5727+2386</f>
        <v>13611</v>
      </c>
      <c r="Q26" s="37">
        <f>173946+75144+141958</f>
        <v>391048</v>
      </c>
      <c r="R26" s="37">
        <f>1200.06+36228.85+14613</f>
        <v>52041.909999999996</v>
      </c>
      <c r="S26" s="37">
        <v>0</v>
      </c>
      <c r="T26" s="37">
        <f>34182.41+20143.17+60104.96</f>
        <v>114430.54000000001</v>
      </c>
      <c r="U26" s="37">
        <v>0</v>
      </c>
      <c r="V26" s="37">
        <f>93153.86+118426.16+133960.78</f>
        <v>345540.80000000005</v>
      </c>
      <c r="W26" s="37">
        <v>0</v>
      </c>
      <c r="X26" s="37">
        <v>0</v>
      </c>
      <c r="Y26" s="37">
        <v>0</v>
      </c>
      <c r="Z26" s="37">
        <f>SUM(P26:Y26)</f>
        <v>916672.25</v>
      </c>
      <c r="AA26" s="59"/>
      <c r="AB26" s="37">
        <f>2279+642+1039-454</f>
        <v>3506</v>
      </c>
      <c r="AC26" s="37">
        <f>127916+169425+176518+174019</f>
        <v>647878</v>
      </c>
      <c r="AD26" s="37">
        <f>27442+19612+5988+1717</f>
        <v>54759</v>
      </c>
      <c r="AE26" s="37">
        <v>0</v>
      </c>
      <c r="AF26" s="37">
        <f>59706+1+65853+94415+74171</f>
        <v>294146</v>
      </c>
      <c r="AG26" s="37">
        <v>0</v>
      </c>
      <c r="AH26" s="37">
        <f>44726+79731+81913+114890</f>
        <v>321260</v>
      </c>
      <c r="AI26" s="37">
        <v>0</v>
      </c>
      <c r="AJ26" s="37">
        <v>0</v>
      </c>
      <c r="AK26" s="37">
        <v>0</v>
      </c>
      <c r="AL26" s="37">
        <f>SUM(AB26:AK26)</f>
        <v>1321549</v>
      </c>
      <c r="AM26" s="60"/>
      <c r="AN26" s="37">
        <f>2055</f>
        <v>2055</v>
      </c>
      <c r="AO26" s="37">
        <f>237458+212233</f>
        <v>449691</v>
      </c>
      <c r="AP26" s="37">
        <f>2718+4976</f>
        <v>7694</v>
      </c>
      <c r="AQ26" s="37">
        <v>0</v>
      </c>
      <c r="AR26" s="37">
        <f>75198+99328</f>
        <v>174526</v>
      </c>
      <c r="AS26" s="37">
        <v>0</v>
      </c>
      <c r="AT26" s="37">
        <v>0</v>
      </c>
      <c r="AU26" s="37">
        <f>83973+82681</f>
        <v>166654</v>
      </c>
      <c r="AV26" s="37">
        <v>0</v>
      </c>
      <c r="AW26" s="37">
        <v>0</v>
      </c>
      <c r="AX26" s="37">
        <v>0</v>
      </c>
      <c r="AY26" s="37">
        <f>SUM(AN26:AX26)</f>
        <v>800620</v>
      </c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</row>
    <row r="27" spans="1:171" ht="15" customHeight="1" x14ac:dyDescent="0.35">
      <c r="A27" s="14"/>
      <c r="B27" s="23" t="s">
        <v>45</v>
      </c>
      <c r="C27" s="24" t="s">
        <v>46</v>
      </c>
      <c r="D27" s="37">
        <f>74+282-15</f>
        <v>341</v>
      </c>
      <c r="E27" s="37">
        <f>249+1238+1852-447+2634</f>
        <v>5526</v>
      </c>
      <c r="F27" s="37">
        <v>0</v>
      </c>
      <c r="G27" s="37">
        <v>0</v>
      </c>
      <c r="H27" s="37">
        <f>3455+4026+5136+2693</f>
        <v>15310</v>
      </c>
      <c r="I27" s="37">
        <f>9</f>
        <v>9</v>
      </c>
      <c r="J27" s="37">
        <f>4585+7734+6635+4504</f>
        <v>23458</v>
      </c>
      <c r="K27" s="37">
        <v>0</v>
      </c>
      <c r="L27" s="37">
        <v>0</v>
      </c>
      <c r="M27" s="37">
        <v>0</v>
      </c>
      <c r="N27" s="37">
        <f>SUM(D27:M27)</f>
        <v>44644</v>
      </c>
      <c r="O27" s="58"/>
      <c r="P27" s="37">
        <f>179+823</f>
        <v>1002</v>
      </c>
      <c r="Q27" s="37">
        <f>3887-546+477</f>
        <v>3818</v>
      </c>
      <c r="R27" s="37">
        <f>138.68+846</f>
        <v>984.68000000000006</v>
      </c>
      <c r="S27" s="37">
        <v>0</v>
      </c>
      <c r="T27" s="37">
        <f>6197.41+2712.99+7215.54</f>
        <v>16125.939999999999</v>
      </c>
      <c r="U27" s="37">
        <v>0</v>
      </c>
      <c r="V27" s="37">
        <f>5748.5+5908.05+1389.87</f>
        <v>13046.419999999998</v>
      </c>
      <c r="W27" s="37">
        <v>0</v>
      </c>
      <c r="X27" s="37">
        <v>0</v>
      </c>
      <c r="Y27" s="37">
        <v>0</v>
      </c>
      <c r="Z27" s="37">
        <f>SUM(P27:Y27)</f>
        <v>34977.039999999994</v>
      </c>
      <c r="AA27" s="59"/>
      <c r="AB27" s="37">
        <f>44+174+476+16</f>
        <v>710</v>
      </c>
      <c r="AC27" s="37">
        <f>525+3532+2574+440</f>
        <v>7071</v>
      </c>
      <c r="AD27" s="37">
        <f>277+139+1217+234</f>
        <v>1867</v>
      </c>
      <c r="AE27" s="37">
        <v>0</v>
      </c>
      <c r="AF27" s="37">
        <f>11738+19264+18090+13102</f>
        <v>62194</v>
      </c>
      <c r="AG27" s="37">
        <v>0</v>
      </c>
      <c r="AH27" s="37">
        <f>-1055+1227+5599+1044</f>
        <v>6815</v>
      </c>
      <c r="AI27" s="37">
        <v>0</v>
      </c>
      <c r="AJ27" s="37">
        <v>0</v>
      </c>
      <c r="AK27" s="37">
        <v>0</v>
      </c>
      <c r="AL27" s="37">
        <f>SUM(AB27:AK27)</f>
        <v>78657</v>
      </c>
      <c r="AM27" s="60"/>
      <c r="AN27" s="37">
        <f>40</f>
        <v>40</v>
      </c>
      <c r="AO27" s="37">
        <f>3817+1171</f>
        <v>4988</v>
      </c>
      <c r="AP27" s="37">
        <f>-1451</f>
        <v>-1451</v>
      </c>
      <c r="AQ27" s="37">
        <v>0</v>
      </c>
      <c r="AR27" s="37">
        <f>11364+17892</f>
        <v>29256</v>
      </c>
      <c r="AS27" s="37">
        <v>0</v>
      </c>
      <c r="AT27" s="37">
        <v>0</v>
      </c>
      <c r="AU27" s="37">
        <f>739+1670</f>
        <v>2409</v>
      </c>
      <c r="AV27" s="37">
        <v>0</v>
      </c>
      <c r="AW27" s="37">
        <f>313</f>
        <v>313</v>
      </c>
      <c r="AX27" s="37">
        <v>0</v>
      </c>
      <c r="AY27" s="37">
        <f>SUM(AN27:AX27)</f>
        <v>35555</v>
      </c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</row>
    <row r="28" spans="1:171" ht="15" customHeight="1" x14ac:dyDescent="0.35">
      <c r="A28" s="14"/>
      <c r="B28" s="23" t="s">
        <v>47</v>
      </c>
      <c r="C28" s="24" t="s">
        <v>48</v>
      </c>
      <c r="D28" s="37">
        <f>6960+4658+5333-841+1270</f>
        <v>17380</v>
      </c>
      <c r="E28" s="37">
        <f>14359+14206+27234-5827+27950</f>
        <v>77922</v>
      </c>
      <c r="F28" s="37">
        <v>0</v>
      </c>
      <c r="G28" s="37">
        <v>0</v>
      </c>
      <c r="H28" s="37">
        <f>2404+1580+1304+1193</f>
        <v>6481</v>
      </c>
      <c r="I28" s="37">
        <f>508</f>
        <v>508</v>
      </c>
      <c r="J28" s="37">
        <f>91954+78549+129378+88320</f>
        <v>388201</v>
      </c>
      <c r="K28" s="37">
        <v>0</v>
      </c>
      <c r="L28" s="37">
        <v>0</v>
      </c>
      <c r="M28" s="37">
        <v>0</v>
      </c>
      <c r="N28" s="37">
        <f>SUM(D28:M28)</f>
        <v>490492</v>
      </c>
      <c r="O28" s="58"/>
      <c r="P28" s="37">
        <f>8904+9353-3527</f>
        <v>14730</v>
      </c>
      <c r="Q28" s="37">
        <f>26700+9568+17888</f>
        <v>54156</v>
      </c>
      <c r="R28" s="37">
        <f>1232.94+81627.87+3180</f>
        <v>86040.81</v>
      </c>
      <c r="S28" s="37">
        <v>0</v>
      </c>
      <c r="T28" s="37">
        <f>2353.56</f>
        <v>2353.56</v>
      </c>
      <c r="U28" s="37">
        <v>0</v>
      </c>
      <c r="V28" s="37">
        <f>145869.86+173939.98+67511.56</f>
        <v>387321.39999999997</v>
      </c>
      <c r="W28" s="37">
        <v>0</v>
      </c>
      <c r="X28" s="37">
        <v>0</v>
      </c>
      <c r="Y28" s="37">
        <v>0</v>
      </c>
      <c r="Z28" s="37">
        <f>SUM(P28:Y28)</f>
        <v>544601.77</v>
      </c>
      <c r="AA28" s="59"/>
      <c r="AB28" s="37">
        <f>1516+1170+3727+101</f>
        <v>6514</v>
      </c>
      <c r="AC28" s="37">
        <f>16044+36991+32849+8694</f>
        <v>94578</v>
      </c>
      <c r="AD28" s="37">
        <f>17664+23429+3105+14414</f>
        <v>58612</v>
      </c>
      <c r="AE28" s="37">
        <v>0</v>
      </c>
      <c r="AF28" s="37">
        <f>3159-1+8347+816+2063</f>
        <v>14384</v>
      </c>
      <c r="AG28" s="37">
        <v>0</v>
      </c>
      <c r="AH28" s="37">
        <f>10870+83984+59507+43532</f>
        <v>197893</v>
      </c>
      <c r="AI28" s="37">
        <v>0</v>
      </c>
      <c r="AJ28" s="37">
        <v>0</v>
      </c>
      <c r="AK28" s="37">
        <v>0</v>
      </c>
      <c r="AL28" s="37">
        <f>SUM(AB28:AK28)</f>
        <v>371981</v>
      </c>
      <c r="AM28" s="60"/>
      <c r="AN28" s="37">
        <f>1383</f>
        <v>1383</v>
      </c>
      <c r="AO28" s="37">
        <f>11168+11808</f>
        <v>22976</v>
      </c>
      <c r="AP28" s="37">
        <f>-1916+444</f>
        <v>-1472</v>
      </c>
      <c r="AQ28" s="37">
        <v>0</v>
      </c>
      <c r="AR28" s="37">
        <f>9758+6494</f>
        <v>16252</v>
      </c>
      <c r="AS28" s="37">
        <v>0</v>
      </c>
      <c r="AT28" s="37">
        <v>0</v>
      </c>
      <c r="AU28" s="37">
        <f>35453+62274</f>
        <v>97727</v>
      </c>
      <c r="AV28" s="37">
        <v>0</v>
      </c>
      <c r="AW28" s="37">
        <v>0</v>
      </c>
      <c r="AX28" s="37">
        <v>0</v>
      </c>
      <c r="AY28" s="37">
        <f>SUM(AN28:AX28)</f>
        <v>136866</v>
      </c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</row>
    <row r="29" spans="1:171" ht="15" customHeight="1" x14ac:dyDescent="0.35">
      <c r="A29" s="14" t="s">
        <v>49</v>
      </c>
      <c r="B29" s="23"/>
      <c r="C29" s="25" t="s">
        <v>50</v>
      </c>
      <c r="D29" s="37">
        <f>18520+12316+14535-2121+13137</f>
        <v>56387</v>
      </c>
      <c r="E29" s="37">
        <f>80889+72644+116225-39803+77162</f>
        <v>307117</v>
      </c>
      <c r="F29" s="37">
        <v>1498</v>
      </c>
      <c r="G29" s="37">
        <v>0</v>
      </c>
      <c r="H29" s="37">
        <f>15248+8256+8236+17309</f>
        <v>49049</v>
      </c>
      <c r="I29" s="37">
        <f>2860+2089+3289+2042</f>
        <v>10280</v>
      </c>
      <c r="J29" s="37">
        <f>59706+68146+104551+76327</f>
        <v>308730</v>
      </c>
      <c r="K29" s="37">
        <v>0</v>
      </c>
      <c r="L29" s="37">
        <f>20567+14303+15073+43964</f>
        <v>93907</v>
      </c>
      <c r="M29" s="37">
        <v>0</v>
      </c>
      <c r="N29" s="37">
        <f>SUM(D29:M29)</f>
        <v>826968</v>
      </c>
      <c r="O29" s="58"/>
      <c r="P29" s="37">
        <f>1990+2449+13938</f>
        <v>18377</v>
      </c>
      <c r="Q29" s="37">
        <f>145046+51674+129502</f>
        <v>326222</v>
      </c>
      <c r="R29" s="37">
        <f>873.38+50160.19+20296</f>
        <v>71329.570000000007</v>
      </c>
      <c r="S29" s="37">
        <v>0</v>
      </c>
      <c r="T29" s="37">
        <f>3268.36+50097.71</f>
        <v>53366.07</v>
      </c>
      <c r="U29" s="37">
        <f>18190.73+6279.48+18090.46</f>
        <v>42560.67</v>
      </c>
      <c r="V29" s="37">
        <f>15087.02+10113.58+21769.19</f>
        <v>46969.789999999994</v>
      </c>
      <c r="W29" s="37">
        <v>0</v>
      </c>
      <c r="X29" s="37">
        <f>18953+19433+51879</f>
        <v>90265</v>
      </c>
      <c r="Y29" s="37">
        <v>0</v>
      </c>
      <c r="Z29" s="37">
        <f>SUM(P29:Y29)</f>
        <v>649090.1</v>
      </c>
      <c r="AA29" s="59"/>
      <c r="AB29" s="37">
        <f>13544+4137+10799+609</f>
        <v>29089</v>
      </c>
      <c r="AC29" s="37">
        <f>89970+152944+160628+87077</f>
        <v>490619</v>
      </c>
      <c r="AD29" s="37">
        <f>16088+34533-2629-19928</f>
        <v>28064</v>
      </c>
      <c r="AE29" s="37">
        <v>0</v>
      </c>
      <c r="AF29" s="37">
        <f>42775-1+24337+26420+32431</f>
        <v>125962</v>
      </c>
      <c r="AG29" s="37">
        <f>19736+17665+20028+16485</f>
        <v>73914</v>
      </c>
      <c r="AH29" s="37">
        <f>-2387+12967+11500+54216</f>
        <v>76296</v>
      </c>
      <c r="AI29" s="37">
        <v>0</v>
      </c>
      <c r="AJ29" s="37">
        <f>41759-15400+20965+17102+20461</f>
        <v>84887</v>
      </c>
      <c r="AK29" s="37">
        <v>0</v>
      </c>
      <c r="AL29" s="37">
        <f>SUM(AB29:AK29)</f>
        <v>908831</v>
      </c>
      <c r="AM29" s="60"/>
      <c r="AN29" s="37">
        <f>48066+20578</f>
        <v>68644</v>
      </c>
      <c r="AO29" s="37">
        <f>-37630+86953</f>
        <v>49323</v>
      </c>
      <c r="AP29" s="37">
        <f>15009+3032</f>
        <v>18041</v>
      </c>
      <c r="AQ29" s="37">
        <v>0</v>
      </c>
      <c r="AR29" s="37">
        <f>44042+27077</f>
        <v>71119</v>
      </c>
      <c r="AS29" s="37">
        <f>1454+17920</f>
        <v>19374</v>
      </c>
      <c r="AT29" s="37">
        <v>0</v>
      </c>
      <c r="AU29" s="37">
        <f>151528+70512</f>
        <v>222040</v>
      </c>
      <c r="AV29" s="37">
        <v>0</v>
      </c>
      <c r="AW29" s="37">
        <f>20480+20996</f>
        <v>41476</v>
      </c>
      <c r="AX29" s="37">
        <v>0</v>
      </c>
      <c r="AY29" s="37">
        <f>SUM(AN29:AX29)</f>
        <v>490017</v>
      </c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</row>
    <row r="30" spans="1:171" ht="15" customHeight="1" x14ac:dyDescent="0.35">
      <c r="A30" s="14" t="s">
        <v>51</v>
      </c>
      <c r="B30" s="23"/>
      <c r="C30" s="24" t="s">
        <v>52</v>
      </c>
      <c r="D30" s="37">
        <f>0</f>
        <v>0</v>
      </c>
      <c r="E30" s="37">
        <f>0</f>
        <v>0</v>
      </c>
      <c r="F30" s="37">
        <v>0</v>
      </c>
      <c r="G30" s="37">
        <v>0</v>
      </c>
      <c r="H30" s="37">
        <v>0</v>
      </c>
      <c r="I30" s="37">
        <v>0</v>
      </c>
      <c r="J30" s="37">
        <f>212</f>
        <v>212</v>
      </c>
      <c r="K30" s="37">
        <v>0</v>
      </c>
      <c r="L30" s="37">
        <v>0</v>
      </c>
      <c r="M30" s="37">
        <v>0</v>
      </c>
      <c r="N30" s="37">
        <f>SUM(D30:M30)</f>
        <v>212</v>
      </c>
      <c r="O30" s="58"/>
      <c r="P30" s="37">
        <v>0</v>
      </c>
      <c r="Q30" s="37">
        <v>0</v>
      </c>
      <c r="R30" s="37">
        <f>3314</f>
        <v>3314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f>SUM(P30:Y30)</f>
        <v>3314</v>
      </c>
      <c r="AA30" s="59"/>
      <c r="AB30" s="37">
        <v>0</v>
      </c>
      <c r="AC30" s="37">
        <v>0</v>
      </c>
      <c r="AD30" s="37">
        <f>1657+765</f>
        <v>2422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f>SUM(AB30:AK30)</f>
        <v>2422</v>
      </c>
      <c r="AM30" s="60"/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f>SUM(AN30:AX30)</f>
        <v>0</v>
      </c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</row>
    <row r="31" spans="1:171" ht="15" customHeight="1" x14ac:dyDescent="0.35">
      <c r="A31" s="20">
        <v>60199</v>
      </c>
      <c r="B31" s="23"/>
      <c r="C31" s="26" t="s">
        <v>53</v>
      </c>
      <c r="D31" s="39">
        <f t="shared" ref="D31:M31" si="11">SUM(D26:D30)</f>
        <v>83345</v>
      </c>
      <c r="E31" s="39">
        <f t="shared" si="11"/>
        <v>839809</v>
      </c>
      <c r="F31" s="39">
        <f t="shared" si="11"/>
        <v>4289</v>
      </c>
      <c r="G31" s="39">
        <f t="shared" si="11"/>
        <v>0</v>
      </c>
      <c r="H31" s="39">
        <f t="shared" si="11"/>
        <v>201156</v>
      </c>
      <c r="I31" s="39">
        <f t="shared" si="11"/>
        <v>12858</v>
      </c>
      <c r="J31" s="39">
        <f t="shared" si="11"/>
        <v>1083112</v>
      </c>
      <c r="K31" s="39">
        <f t="shared" si="11"/>
        <v>0</v>
      </c>
      <c r="L31" s="39">
        <f t="shared" si="11"/>
        <v>93907</v>
      </c>
      <c r="M31" s="39">
        <f t="shared" si="11"/>
        <v>0</v>
      </c>
      <c r="N31" s="39">
        <f t="shared" ref="N31" si="12">SUM(N25:N30)</f>
        <v>2318476</v>
      </c>
      <c r="O31" s="58"/>
      <c r="P31" s="39">
        <f t="shared" ref="P31:Y31" si="13">SUM(P26:P30)</f>
        <v>47720</v>
      </c>
      <c r="Q31" s="39">
        <f t="shared" si="13"/>
        <v>775244</v>
      </c>
      <c r="R31" s="39">
        <f t="shared" si="13"/>
        <v>213710.97</v>
      </c>
      <c r="S31" s="39">
        <f t="shared" si="13"/>
        <v>0</v>
      </c>
      <c r="T31" s="39">
        <f t="shared" si="13"/>
        <v>186276.11000000002</v>
      </c>
      <c r="U31" s="39">
        <f t="shared" si="13"/>
        <v>42560.67</v>
      </c>
      <c r="V31" s="39">
        <f t="shared" si="13"/>
        <v>792878.41</v>
      </c>
      <c r="W31" s="39">
        <f t="shared" si="13"/>
        <v>0</v>
      </c>
      <c r="X31" s="39">
        <f t="shared" si="13"/>
        <v>90265</v>
      </c>
      <c r="Y31" s="39">
        <f t="shared" si="13"/>
        <v>0</v>
      </c>
      <c r="Z31" s="39">
        <f>SUM(Z25:Z30)</f>
        <v>2148655.16</v>
      </c>
      <c r="AA31" s="59"/>
      <c r="AB31" s="39">
        <f t="shared" ref="AB31:AK31" si="14">SUM(AB26:AB30)</f>
        <v>39819</v>
      </c>
      <c r="AC31" s="39">
        <f t="shared" si="14"/>
        <v>1240146</v>
      </c>
      <c r="AD31" s="39">
        <f t="shared" si="14"/>
        <v>145724</v>
      </c>
      <c r="AE31" s="39">
        <f t="shared" si="14"/>
        <v>0</v>
      </c>
      <c r="AF31" s="39">
        <f t="shared" si="14"/>
        <v>496686</v>
      </c>
      <c r="AG31" s="39">
        <f t="shared" si="14"/>
        <v>73914</v>
      </c>
      <c r="AH31" s="39">
        <f t="shared" si="14"/>
        <v>602264</v>
      </c>
      <c r="AI31" s="39">
        <f t="shared" si="14"/>
        <v>0</v>
      </c>
      <c r="AJ31" s="39">
        <f t="shared" si="14"/>
        <v>84887</v>
      </c>
      <c r="AK31" s="39">
        <f t="shared" si="14"/>
        <v>0</v>
      </c>
      <c r="AL31" s="39">
        <f>SUM(AL25:AL30)</f>
        <v>2683440</v>
      </c>
      <c r="AM31" s="60"/>
      <c r="AN31" s="39">
        <f t="shared" ref="AN31:AX31" si="15">SUM(AN26:AN30)</f>
        <v>72122</v>
      </c>
      <c r="AO31" s="39">
        <f t="shared" si="15"/>
        <v>526978</v>
      </c>
      <c r="AP31" s="39">
        <f t="shared" si="15"/>
        <v>22812</v>
      </c>
      <c r="AQ31" s="39">
        <f t="shared" si="15"/>
        <v>0</v>
      </c>
      <c r="AR31" s="39">
        <f t="shared" si="15"/>
        <v>291153</v>
      </c>
      <c r="AS31" s="39">
        <f t="shared" si="15"/>
        <v>19374</v>
      </c>
      <c r="AT31" s="39">
        <f>SUM(AT26:AT30)</f>
        <v>0</v>
      </c>
      <c r="AU31" s="39">
        <f t="shared" si="15"/>
        <v>488830</v>
      </c>
      <c r="AV31" s="39">
        <f t="shared" si="15"/>
        <v>0</v>
      </c>
      <c r="AW31" s="39">
        <f t="shared" si="15"/>
        <v>41789</v>
      </c>
      <c r="AX31" s="39">
        <f t="shared" si="15"/>
        <v>0</v>
      </c>
      <c r="AY31" s="39">
        <f>SUM(AY25:AY30)</f>
        <v>1463058</v>
      </c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</row>
    <row r="32" spans="1:171" ht="15" customHeight="1" x14ac:dyDescent="0.35">
      <c r="A32" s="14"/>
      <c r="B32" s="23"/>
      <c r="C32" s="26" t="s">
        <v>54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5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59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60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</row>
    <row r="33" spans="1:171" ht="15" customHeight="1" x14ac:dyDescent="0.35">
      <c r="A33" s="14" t="s">
        <v>55</v>
      </c>
      <c r="B33" s="23"/>
      <c r="C33" s="24" t="s">
        <v>56</v>
      </c>
      <c r="D33" s="37">
        <f>1220+1419+1040-163+781</f>
        <v>4297</v>
      </c>
      <c r="E33" s="37">
        <f>141316+113251+164717-66046+142804</f>
        <v>496042</v>
      </c>
      <c r="F33" s="37">
        <v>154</v>
      </c>
      <c r="G33" s="37">
        <v>0</v>
      </c>
      <c r="H33" s="37">
        <f>26850+36008+39562+37974</f>
        <v>140394</v>
      </c>
      <c r="I33" s="37">
        <f>4997+3257+4661+3780</f>
        <v>16695</v>
      </c>
      <c r="J33" s="37">
        <f>115867+124845+104640+97820</f>
        <v>443172</v>
      </c>
      <c r="K33" s="37">
        <v>0</v>
      </c>
      <c r="L33" s="37">
        <v>0</v>
      </c>
      <c r="M33" s="37">
        <v>0</v>
      </c>
      <c r="N33" s="37">
        <f>SUM(D33:M33)</f>
        <v>1100754</v>
      </c>
      <c r="O33" s="58"/>
      <c r="P33" s="37">
        <f>1789+1974</f>
        <v>3763</v>
      </c>
      <c r="Q33" s="37">
        <f>195+215505+78137</f>
        <v>293837</v>
      </c>
      <c r="R33" s="37">
        <f>103.64+18334.99+10997</f>
        <v>29435.63</v>
      </c>
      <c r="S33" s="37">
        <v>0</v>
      </c>
      <c r="T33" s="37">
        <f>160399.18+67298.61</f>
        <v>227697.78999999998</v>
      </c>
      <c r="U33" s="37">
        <f>24.45+26806.76+11504.36</f>
        <v>38335.57</v>
      </c>
      <c r="V33" s="37">
        <f>65326.77+67122.7+92371.55</f>
        <v>224821.02000000002</v>
      </c>
      <c r="W33" s="37">
        <v>0</v>
      </c>
      <c r="X33" s="37">
        <v>0</v>
      </c>
      <c r="Y33" s="37">
        <v>0</v>
      </c>
      <c r="Z33" s="37">
        <f>SUM(P33:Y33)</f>
        <v>817890.00999999989</v>
      </c>
      <c r="AA33" s="59"/>
      <c r="AB33" s="37">
        <f>357+439+190</f>
        <v>986</v>
      </c>
      <c r="AC33" s="37">
        <f>106350+158488+148671+30038</f>
        <v>443547</v>
      </c>
      <c r="AD33" s="37">
        <f>5065+12342-1326+2945</f>
        <v>19026</v>
      </c>
      <c r="AE33" s="37">
        <v>0</v>
      </c>
      <c r="AF33" s="37">
        <f>118537+115586+144570+55430</f>
        <v>434123</v>
      </c>
      <c r="AG33" s="37">
        <f>21565+18305+18617+8676</f>
        <v>67163</v>
      </c>
      <c r="AH33" s="37">
        <f>7077+60967+90832+42932</f>
        <v>201808</v>
      </c>
      <c r="AI33" s="37">
        <v>0</v>
      </c>
      <c r="AJ33" s="37">
        <v>0</v>
      </c>
      <c r="AK33" s="37">
        <v>0</v>
      </c>
      <c r="AL33" s="37">
        <f>SUM(AB33:AK33)</f>
        <v>1166653</v>
      </c>
      <c r="AM33" s="60"/>
      <c r="AN33" s="37">
        <f>446</f>
        <v>446</v>
      </c>
      <c r="AO33" s="37">
        <f>129501+119851</f>
        <v>249352</v>
      </c>
      <c r="AP33" s="37">
        <f>408+617</f>
        <v>1025</v>
      </c>
      <c r="AQ33" s="37">
        <v>0</v>
      </c>
      <c r="AR33" s="37">
        <f>96850+73234</f>
        <v>170084</v>
      </c>
      <c r="AS33" s="37">
        <f>25923+24700</f>
        <v>50623</v>
      </c>
      <c r="AT33" s="37">
        <v>0</v>
      </c>
      <c r="AU33" s="37">
        <f>44840+61074</f>
        <v>105914</v>
      </c>
      <c r="AV33" s="37">
        <v>0</v>
      </c>
      <c r="AW33" s="37">
        <v>0</v>
      </c>
      <c r="AX33" s="37">
        <v>0</v>
      </c>
      <c r="AY33" s="37">
        <f>SUM(AN33:AX33)</f>
        <v>577444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</row>
    <row r="34" spans="1:171" ht="15" customHeight="1" x14ac:dyDescent="0.35">
      <c r="A34" s="14" t="s">
        <v>57</v>
      </c>
      <c r="B34" s="23"/>
      <c r="C34" s="24" t="s">
        <v>58</v>
      </c>
      <c r="D34" s="37">
        <f>0</f>
        <v>0</v>
      </c>
      <c r="E34" s="37">
        <f>0</f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f>SUM(D34:M34)</f>
        <v>0</v>
      </c>
      <c r="O34" s="58"/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f>SUM(P34:Y34)</f>
        <v>0</v>
      </c>
      <c r="AA34" s="59"/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f>SUM(AB34:AK34)</f>
        <v>0</v>
      </c>
      <c r="AM34" s="60"/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f>SUM(AN34:AX34)</f>
        <v>0</v>
      </c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</row>
    <row r="35" spans="1:171" ht="18" customHeight="1" x14ac:dyDescent="0.35">
      <c r="A35" s="14" t="s">
        <v>59</v>
      </c>
      <c r="B35" s="23"/>
      <c r="C35" s="24" t="s">
        <v>60</v>
      </c>
      <c r="D35" s="37">
        <f>439+530+114-98+23</f>
        <v>1008</v>
      </c>
      <c r="E35" s="37">
        <f>11685+8124+4741-4629+1649</f>
        <v>21570</v>
      </c>
      <c r="F35" s="37">
        <v>0</v>
      </c>
      <c r="G35" s="37">
        <v>0</v>
      </c>
      <c r="H35" s="37">
        <f>50+16+20</f>
        <v>86</v>
      </c>
      <c r="I35" s="37">
        <f>413+234+134+44</f>
        <v>825</v>
      </c>
      <c r="J35" s="37">
        <f>60849+43497+37608+32553</f>
        <v>174507</v>
      </c>
      <c r="K35" s="37">
        <v>0</v>
      </c>
      <c r="L35" s="37">
        <v>0</v>
      </c>
      <c r="M35" s="37">
        <v>0</v>
      </c>
      <c r="N35" s="37">
        <f>SUM(D35:M35)</f>
        <v>197996</v>
      </c>
      <c r="O35" s="58"/>
      <c r="P35" s="37">
        <f>193-193+390</f>
        <v>390</v>
      </c>
      <c r="Q35" s="37">
        <f>3655+37+1340</f>
        <v>5032</v>
      </c>
      <c r="R35" s="37">
        <v>0</v>
      </c>
      <c r="S35" s="37">
        <v>0</v>
      </c>
      <c r="T35" s="37">
        <v>0</v>
      </c>
      <c r="U35" s="37">
        <f>458.41+0.78+197.33</f>
        <v>656.52</v>
      </c>
      <c r="V35" s="37">
        <f>15872.49+26563.74+42329.18</f>
        <v>84765.41</v>
      </c>
      <c r="W35" s="37">
        <v>0</v>
      </c>
      <c r="X35" s="37">
        <v>0</v>
      </c>
      <c r="Y35" s="37">
        <v>0</v>
      </c>
      <c r="Z35" s="37">
        <f>SUM(P35:Y35)</f>
        <v>90843.930000000008</v>
      </c>
      <c r="AA35" s="59"/>
      <c r="AB35" s="37">
        <f>-390+214+3</f>
        <v>-173</v>
      </c>
      <c r="AC35" s="37">
        <f>361+590+1124+788</f>
        <v>2863</v>
      </c>
      <c r="AD35" s="37">
        <v>0</v>
      </c>
      <c r="AE35" s="37">
        <v>0</v>
      </c>
      <c r="AF35" s="37">
        <f>257+126+571</f>
        <v>954</v>
      </c>
      <c r="AG35" s="37">
        <f>151+68+138+132</f>
        <v>489</v>
      </c>
      <c r="AH35" s="37">
        <f>-8531+15733+26208+6244</f>
        <v>39654</v>
      </c>
      <c r="AI35" s="37">
        <v>0</v>
      </c>
      <c r="AJ35" s="37">
        <v>0</v>
      </c>
      <c r="AK35" s="37">
        <v>0</v>
      </c>
      <c r="AL35" s="37">
        <f>SUM(AB35:AK35)</f>
        <v>43787</v>
      </c>
      <c r="AM35" s="60"/>
      <c r="AN35" s="37">
        <f>56</f>
        <v>56</v>
      </c>
      <c r="AO35" s="37">
        <f>729+364</f>
        <v>1093</v>
      </c>
      <c r="AP35" s="37">
        <v>0</v>
      </c>
      <c r="AQ35" s="37">
        <v>0</v>
      </c>
      <c r="AR35" s="37">
        <f>224+449</f>
        <v>673</v>
      </c>
      <c r="AS35" s="37">
        <f>157+75</f>
        <v>232</v>
      </c>
      <c r="AT35" s="37">
        <v>0</v>
      </c>
      <c r="AU35" s="37">
        <f>6819+12744</f>
        <v>19563</v>
      </c>
      <c r="AV35" s="37">
        <v>0</v>
      </c>
      <c r="AW35" s="37">
        <v>0</v>
      </c>
      <c r="AX35" s="37">
        <v>0</v>
      </c>
      <c r="AY35" s="37">
        <f>SUM(AN35:AX35)</f>
        <v>21617</v>
      </c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</row>
    <row r="36" spans="1:171" ht="15" customHeight="1" x14ac:dyDescent="0.35">
      <c r="A36" s="14" t="s">
        <v>61</v>
      </c>
      <c r="B36" s="23"/>
      <c r="C36" s="24" t="s">
        <v>62</v>
      </c>
      <c r="D36" s="37">
        <f>0</f>
        <v>0</v>
      </c>
      <c r="E36" s="37">
        <f>81016+80549+100745-43785+47088</f>
        <v>265613</v>
      </c>
      <c r="F36" s="37">
        <v>0</v>
      </c>
      <c r="G36" s="37">
        <v>0</v>
      </c>
      <c r="H36" s="37">
        <f>2443+657+247+597</f>
        <v>3944</v>
      </c>
      <c r="I36" s="37">
        <f>2865+2317+2851+1246</f>
        <v>9279</v>
      </c>
      <c r="J36" s="37">
        <f>1483+6677+2482+1499</f>
        <v>12141</v>
      </c>
      <c r="K36" s="37">
        <v>0</v>
      </c>
      <c r="L36" s="37">
        <v>0</v>
      </c>
      <c r="M36" s="37">
        <v>0</v>
      </c>
      <c r="N36" s="37">
        <f>SUM(D36:M36)</f>
        <v>290977</v>
      </c>
      <c r="O36" s="58"/>
      <c r="P36" s="37">
        <v>0</v>
      </c>
      <c r="Q36" s="37">
        <f>38273+28769+27458</f>
        <v>94500</v>
      </c>
      <c r="R36" s="37">
        <f>1583.78+514</f>
        <v>2097.7799999999997</v>
      </c>
      <c r="S36" s="37">
        <v>0</v>
      </c>
      <c r="T36" s="37">
        <v>0</v>
      </c>
      <c r="U36" s="37">
        <f>4799.88+3539.53+3989.53</f>
        <v>12328.94</v>
      </c>
      <c r="V36" s="37">
        <f>10513.43+9033.71-3450.19</f>
        <v>16096.949999999999</v>
      </c>
      <c r="W36" s="37">
        <v>0</v>
      </c>
      <c r="X36" s="37">
        <v>0</v>
      </c>
      <c r="Y36" s="37">
        <v>0</v>
      </c>
      <c r="Z36" s="37">
        <f>SUM(P36:Y36)</f>
        <v>125023.67</v>
      </c>
      <c r="AA36" s="59"/>
      <c r="AB36" s="37">
        <v>0</v>
      </c>
      <c r="AC36" s="37">
        <f>48403+88370+87033+5550</f>
        <v>229356</v>
      </c>
      <c r="AD36" s="37">
        <f>114+2224-1564+413</f>
        <v>1187</v>
      </c>
      <c r="AE36" s="37">
        <v>0</v>
      </c>
      <c r="AF36" s="37">
        <f>467+1200-242</f>
        <v>1425</v>
      </c>
      <c r="AG36" s="37">
        <f>9061+10206+10878+3386</f>
        <v>33531</v>
      </c>
      <c r="AH36" s="37">
        <f>-3838+844+2834+21588</f>
        <v>21428</v>
      </c>
      <c r="AI36" s="37">
        <v>0</v>
      </c>
      <c r="AJ36" s="37">
        <v>0</v>
      </c>
      <c r="AK36" s="37">
        <v>0</v>
      </c>
      <c r="AL36" s="37">
        <f>SUM(AB36:AK36)</f>
        <v>286927</v>
      </c>
      <c r="AM36" s="60"/>
      <c r="AN36" s="37">
        <v>0</v>
      </c>
      <c r="AO36" s="37">
        <f>42265+52162</f>
        <v>94427</v>
      </c>
      <c r="AP36" s="37">
        <v>0</v>
      </c>
      <c r="AQ36" s="37">
        <v>0</v>
      </c>
      <c r="AR36" s="37">
        <f>-15</f>
        <v>-15</v>
      </c>
      <c r="AS36" s="37">
        <f>9738+10750</f>
        <v>20488</v>
      </c>
      <c r="AT36" s="37">
        <v>0</v>
      </c>
      <c r="AU36" s="37">
        <f>48604+11059</f>
        <v>59663</v>
      </c>
      <c r="AV36" s="37">
        <v>0</v>
      </c>
      <c r="AW36" s="37">
        <v>0</v>
      </c>
      <c r="AX36" s="37">
        <v>0</v>
      </c>
      <c r="AY36" s="37">
        <f>SUM(AN36:AX36)</f>
        <v>174563</v>
      </c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71" ht="15" customHeight="1" x14ac:dyDescent="0.35">
      <c r="A37" s="20">
        <v>60299</v>
      </c>
      <c r="B37" s="23"/>
      <c r="C37" s="26" t="s">
        <v>63</v>
      </c>
      <c r="D37" s="39">
        <f t="shared" ref="D37:M37" si="16">SUM(D33:D36)</f>
        <v>5305</v>
      </c>
      <c r="E37" s="39">
        <f t="shared" si="16"/>
        <v>783225</v>
      </c>
      <c r="F37" s="39">
        <f t="shared" si="16"/>
        <v>154</v>
      </c>
      <c r="G37" s="39">
        <f t="shared" si="16"/>
        <v>0</v>
      </c>
      <c r="H37" s="39">
        <f t="shared" si="16"/>
        <v>144424</v>
      </c>
      <c r="I37" s="39">
        <f t="shared" si="16"/>
        <v>26799</v>
      </c>
      <c r="J37" s="39">
        <f t="shared" si="16"/>
        <v>629820</v>
      </c>
      <c r="K37" s="39">
        <f t="shared" si="16"/>
        <v>0</v>
      </c>
      <c r="L37" s="39">
        <f t="shared" si="16"/>
        <v>0</v>
      </c>
      <c r="M37" s="39">
        <f t="shared" si="16"/>
        <v>0</v>
      </c>
      <c r="N37" s="39">
        <f t="shared" ref="N37" si="17">SUM(N33:N36)</f>
        <v>1589727</v>
      </c>
      <c r="O37" s="58"/>
      <c r="P37" s="39">
        <f t="shared" ref="P37:Y37" si="18">SUM(P33:P36)</f>
        <v>4153</v>
      </c>
      <c r="Q37" s="39">
        <f t="shared" si="18"/>
        <v>393369</v>
      </c>
      <c r="R37" s="39">
        <f t="shared" si="18"/>
        <v>31533.41</v>
      </c>
      <c r="S37" s="39">
        <f t="shared" si="18"/>
        <v>0</v>
      </c>
      <c r="T37" s="39">
        <f t="shared" si="18"/>
        <v>227697.78999999998</v>
      </c>
      <c r="U37" s="39">
        <f t="shared" si="18"/>
        <v>51321.03</v>
      </c>
      <c r="V37" s="39">
        <f t="shared" si="18"/>
        <v>325683.38000000006</v>
      </c>
      <c r="W37" s="39">
        <f t="shared" si="18"/>
        <v>0</v>
      </c>
      <c r="X37" s="39">
        <f t="shared" si="18"/>
        <v>0</v>
      </c>
      <c r="Y37" s="39">
        <f t="shared" si="18"/>
        <v>0</v>
      </c>
      <c r="Z37" s="39">
        <f>SUM(Z33:Z36)</f>
        <v>1033757.61</v>
      </c>
      <c r="AA37" s="59"/>
      <c r="AB37" s="39">
        <f t="shared" ref="AB37:AK37" si="19">SUM(AB33:AB36)</f>
        <v>813</v>
      </c>
      <c r="AC37" s="39">
        <f t="shared" si="19"/>
        <v>675766</v>
      </c>
      <c r="AD37" s="39">
        <f t="shared" si="19"/>
        <v>20213</v>
      </c>
      <c r="AE37" s="39">
        <f t="shared" si="19"/>
        <v>0</v>
      </c>
      <c r="AF37" s="39">
        <f t="shared" si="19"/>
        <v>436502</v>
      </c>
      <c r="AG37" s="39">
        <f t="shared" si="19"/>
        <v>101183</v>
      </c>
      <c r="AH37" s="39">
        <f t="shared" si="19"/>
        <v>262890</v>
      </c>
      <c r="AI37" s="39">
        <f t="shared" si="19"/>
        <v>0</v>
      </c>
      <c r="AJ37" s="39">
        <f t="shared" si="19"/>
        <v>0</v>
      </c>
      <c r="AK37" s="39">
        <f t="shared" si="19"/>
        <v>0</v>
      </c>
      <c r="AL37" s="39">
        <f>SUM(AL33:AL36)</f>
        <v>1497367</v>
      </c>
      <c r="AM37" s="60"/>
      <c r="AN37" s="39">
        <f t="shared" ref="AN37:AX37" si="20">SUM(AN33:AN36)</f>
        <v>502</v>
      </c>
      <c r="AO37" s="39">
        <f t="shared" si="20"/>
        <v>344872</v>
      </c>
      <c r="AP37" s="39">
        <f t="shared" si="20"/>
        <v>1025</v>
      </c>
      <c r="AQ37" s="39">
        <f t="shared" si="20"/>
        <v>0</v>
      </c>
      <c r="AR37" s="39">
        <f t="shared" si="20"/>
        <v>170742</v>
      </c>
      <c r="AS37" s="39">
        <f t="shared" si="20"/>
        <v>71343</v>
      </c>
      <c r="AT37" s="39">
        <f>SUM(AT33:AT36)</f>
        <v>0</v>
      </c>
      <c r="AU37" s="39">
        <f t="shared" si="20"/>
        <v>185140</v>
      </c>
      <c r="AV37" s="39">
        <f t="shared" si="20"/>
        <v>0</v>
      </c>
      <c r="AW37" s="39">
        <f t="shared" si="20"/>
        <v>0</v>
      </c>
      <c r="AX37" s="39">
        <f t="shared" si="20"/>
        <v>0</v>
      </c>
      <c r="AY37" s="39">
        <f>SUM(AY33:AY36)</f>
        <v>773624</v>
      </c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71" ht="15" customHeight="1" x14ac:dyDescent="0.35">
      <c r="A38" s="14"/>
      <c r="B38" s="23"/>
      <c r="C38" s="26" t="s">
        <v>64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58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59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60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</row>
    <row r="39" spans="1:171" ht="15" customHeight="1" x14ac:dyDescent="0.35">
      <c r="A39" s="14" t="s">
        <v>65</v>
      </c>
      <c r="B39" s="23"/>
      <c r="C39" s="24" t="s">
        <v>66</v>
      </c>
      <c r="D39" s="37">
        <f>0</f>
        <v>0</v>
      </c>
      <c r="E39" s="37">
        <f>1091+1392+1341-619+1276</f>
        <v>4481</v>
      </c>
      <c r="F39" s="37">
        <v>364</v>
      </c>
      <c r="G39" s="37">
        <v>0</v>
      </c>
      <c r="H39" s="37">
        <v>0</v>
      </c>
      <c r="I39" s="37">
        <f>39+40+38+34</f>
        <v>151</v>
      </c>
      <c r="J39" s="37">
        <f>12483+23549+9893+33922</f>
        <v>79847</v>
      </c>
      <c r="K39" s="37">
        <v>0</v>
      </c>
      <c r="L39" s="37">
        <v>0</v>
      </c>
      <c r="M39" s="37">
        <v>0</v>
      </c>
      <c r="N39" s="37">
        <f>SUM(D39:M39)</f>
        <v>84843</v>
      </c>
      <c r="O39" s="58"/>
      <c r="P39" s="37">
        <v>0</v>
      </c>
      <c r="Q39" s="37">
        <f>3134+1428+2355</f>
        <v>6917</v>
      </c>
      <c r="R39" s="37">
        <f>-200.21+1928.58+3954</f>
        <v>5682.37</v>
      </c>
      <c r="S39" s="37">
        <v>0</v>
      </c>
      <c r="T39" s="37">
        <v>0</v>
      </c>
      <c r="U39" s="37">
        <f>393.04+174.44+334.93</f>
        <v>902.41000000000008</v>
      </c>
      <c r="V39" s="37">
        <f>81343.73+119913.26+58223.43</f>
        <v>259480.41999999998</v>
      </c>
      <c r="W39" s="37">
        <v>0</v>
      </c>
      <c r="X39" s="37">
        <v>0</v>
      </c>
      <c r="Y39" s="37">
        <v>0</v>
      </c>
      <c r="Z39" s="37">
        <f>SUM(P39:Y39)</f>
        <v>272982.19999999995</v>
      </c>
      <c r="AA39" s="59"/>
      <c r="AB39" s="37">
        <v>0</v>
      </c>
      <c r="AC39" s="37">
        <f>1880+5054+2338+850</f>
        <v>10122</v>
      </c>
      <c r="AD39" s="37">
        <f>4918-9168+9677-7183</f>
        <v>-1756</v>
      </c>
      <c r="AE39" s="37">
        <v>0</v>
      </c>
      <c r="AF39" s="37">
        <v>0</v>
      </c>
      <c r="AG39" s="37">
        <f>414+584+305+226</f>
        <v>1529</v>
      </c>
      <c r="AH39" s="37">
        <f>-1664+1+76208+31775+35223</f>
        <v>141543</v>
      </c>
      <c r="AI39" s="37">
        <v>0</v>
      </c>
      <c r="AJ39" s="37">
        <v>0</v>
      </c>
      <c r="AK39" s="37">
        <v>0</v>
      </c>
      <c r="AL39" s="37">
        <f>SUM(AB39:AK39)</f>
        <v>151438</v>
      </c>
      <c r="AM39" s="60"/>
      <c r="AN39" s="37">
        <v>0</v>
      </c>
      <c r="AO39" s="37">
        <f>176+760</f>
        <v>936</v>
      </c>
      <c r="AP39" s="37">
        <f>226+14455</f>
        <v>14681</v>
      </c>
      <c r="AQ39" s="37">
        <v>0</v>
      </c>
      <c r="AR39" s="37">
        <v>0</v>
      </c>
      <c r="AS39" s="37">
        <f>175+157</f>
        <v>332</v>
      </c>
      <c r="AT39" s="37">
        <v>0</v>
      </c>
      <c r="AU39" s="37">
        <f>27352+39356</f>
        <v>66708</v>
      </c>
      <c r="AV39" s="37">
        <v>0</v>
      </c>
      <c r="AW39" s="37">
        <v>0</v>
      </c>
      <c r="AX39" s="37">
        <v>0</v>
      </c>
      <c r="AY39" s="37">
        <f>SUM(AN39:AX39)</f>
        <v>82657</v>
      </c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</row>
    <row r="40" spans="1:171" ht="15" customHeight="1" x14ac:dyDescent="0.35">
      <c r="A40" s="14" t="s">
        <v>67</v>
      </c>
      <c r="B40" s="23"/>
      <c r="C40" s="24" t="s">
        <v>68</v>
      </c>
      <c r="D40" s="37">
        <f>2756+3073+3280-388+4359</f>
        <v>13080</v>
      </c>
      <c r="E40" s="37">
        <f>94604+76261+116087-39514+83479</f>
        <v>330917</v>
      </c>
      <c r="F40" s="37">
        <v>821</v>
      </c>
      <c r="G40" s="37">
        <v>0</v>
      </c>
      <c r="H40" s="37">
        <f>7326+4963+5123+7696</f>
        <v>25108</v>
      </c>
      <c r="I40" s="37">
        <f>3345+2193+3285+2210</f>
        <v>11033</v>
      </c>
      <c r="J40" s="37">
        <f>14680+16293+14927+21640</f>
        <v>67540</v>
      </c>
      <c r="K40" s="37">
        <v>0</v>
      </c>
      <c r="L40" s="37">
        <v>0</v>
      </c>
      <c r="M40" s="37">
        <v>0</v>
      </c>
      <c r="N40" s="37">
        <f>SUM(D40:M40)</f>
        <v>448499</v>
      </c>
      <c r="O40" s="58"/>
      <c r="P40" s="37">
        <f>837+774+935</f>
        <v>2546</v>
      </c>
      <c r="Q40" s="37">
        <f>106943+31302+62812</f>
        <v>201057</v>
      </c>
      <c r="R40" s="37">
        <f>-15.11+47977.65+23485</f>
        <v>71447.540000000008</v>
      </c>
      <c r="S40" s="37">
        <v>0</v>
      </c>
      <c r="T40" s="37">
        <f>15034.05+6774.91+16098.5</f>
        <v>37907.46</v>
      </c>
      <c r="U40" s="37">
        <f>13412.11+3784.37+9034.51</f>
        <v>26230.989999999998</v>
      </c>
      <c r="V40" s="37">
        <f>32365.01+60340.53+31735.67</f>
        <v>124441.20999999999</v>
      </c>
      <c r="W40" s="37">
        <v>0</v>
      </c>
      <c r="X40" s="37">
        <v>0</v>
      </c>
      <c r="Y40" s="37">
        <v>0</v>
      </c>
      <c r="Z40" s="37">
        <f>SUM(P40:Y40)</f>
        <v>463630.20000000007</v>
      </c>
      <c r="AA40" s="59"/>
      <c r="AB40" s="37">
        <f>374+72+1113+638</f>
        <v>2197</v>
      </c>
      <c r="AC40" s="37">
        <f>56097+73344+87557+33387</f>
        <v>250385</v>
      </c>
      <c r="AD40" s="37">
        <f>25313+27045+4424+8314</f>
        <v>65096</v>
      </c>
      <c r="AE40" s="37">
        <v>0</v>
      </c>
      <c r="AF40" s="37">
        <f>12407+8025+5596+7687</f>
        <v>33715</v>
      </c>
      <c r="AG40" s="37">
        <f>12260+8471+10870+6932</f>
        <v>38533</v>
      </c>
      <c r="AH40" s="37">
        <f>-837+1+32108+24876+34282</f>
        <v>90430</v>
      </c>
      <c r="AI40" s="37">
        <v>0</v>
      </c>
      <c r="AJ40" s="37">
        <f>148+139+40+3800</f>
        <v>4127</v>
      </c>
      <c r="AK40" s="37">
        <v>0</v>
      </c>
      <c r="AL40" s="37">
        <f>SUM(AB40:AK40)</f>
        <v>484483</v>
      </c>
      <c r="AM40" s="60"/>
      <c r="AN40" s="37">
        <f>674+402</f>
        <v>1076</v>
      </c>
      <c r="AO40" s="37">
        <f>48697+41138</f>
        <v>89835</v>
      </c>
      <c r="AP40" s="37">
        <f>1253+8535</f>
        <v>9788</v>
      </c>
      <c r="AQ40" s="37">
        <v>0</v>
      </c>
      <c r="AR40" s="37">
        <f>7592+7109</f>
        <v>14701</v>
      </c>
      <c r="AS40" s="37">
        <f>10964+8478</f>
        <v>19442</v>
      </c>
      <c r="AT40" s="37">
        <v>0</v>
      </c>
      <c r="AU40" s="37">
        <f>98694+55840</f>
        <v>154534</v>
      </c>
      <c r="AV40" s="37">
        <v>0</v>
      </c>
      <c r="AW40" s="37">
        <f>555+701</f>
        <v>1256</v>
      </c>
      <c r="AX40" s="37">
        <v>0</v>
      </c>
      <c r="AY40" s="37">
        <f>SUM(AN40:AX40)</f>
        <v>290632</v>
      </c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</row>
    <row r="41" spans="1:171" ht="15" customHeight="1" x14ac:dyDescent="0.35">
      <c r="A41" s="14" t="s">
        <v>69</v>
      </c>
      <c r="B41" s="23"/>
      <c r="C41" s="25" t="s">
        <v>70</v>
      </c>
      <c r="D41" s="37">
        <f>10+1+10+4</f>
        <v>25</v>
      </c>
      <c r="E41" s="37">
        <f>46+66-32</f>
        <v>80</v>
      </c>
      <c r="F41" s="37">
        <v>0</v>
      </c>
      <c r="G41" s="37">
        <v>0</v>
      </c>
      <c r="H41" s="37">
        <v>147</v>
      </c>
      <c r="I41" s="37">
        <f>2+2+1</f>
        <v>5</v>
      </c>
      <c r="J41" s="37">
        <f>273+138+158+504</f>
        <v>1073</v>
      </c>
      <c r="K41" s="37">
        <v>0</v>
      </c>
      <c r="L41" s="37">
        <v>0</v>
      </c>
      <c r="M41" s="37">
        <v>0</v>
      </c>
      <c r="N41" s="37">
        <f>SUM(D41:M41)</f>
        <v>1330</v>
      </c>
      <c r="O41" s="58"/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f>900.15+1825.88+3410.07</f>
        <v>6136.1</v>
      </c>
      <c r="W41" s="37">
        <v>0</v>
      </c>
      <c r="X41" s="37">
        <v>0</v>
      </c>
      <c r="Y41" s="37">
        <v>0</v>
      </c>
      <c r="Z41" s="37">
        <f>SUM(P41:Y41)</f>
        <v>6136.1</v>
      </c>
      <c r="AA41" s="59"/>
      <c r="AB41" s="37">
        <v>0</v>
      </c>
      <c r="AC41" s="37">
        <v>0</v>
      </c>
      <c r="AD41" s="37">
        <v>1513</v>
      </c>
      <c r="AE41" s="37">
        <v>0</v>
      </c>
      <c r="AF41" s="37">
        <v>0</v>
      </c>
      <c r="AG41" s="37">
        <v>0</v>
      </c>
      <c r="AH41" s="37">
        <f>884+3115+3862+4437</f>
        <v>12298</v>
      </c>
      <c r="AI41" s="37">
        <v>0</v>
      </c>
      <c r="AJ41" s="37">
        <v>0</v>
      </c>
      <c r="AK41" s="37">
        <v>0</v>
      </c>
      <c r="AL41" s="37">
        <f>SUM(AB41:AK41)</f>
        <v>13811</v>
      </c>
      <c r="AM41" s="60"/>
      <c r="AN41" s="37">
        <v>0</v>
      </c>
      <c r="AO41" s="37">
        <v>0</v>
      </c>
      <c r="AP41" s="37">
        <f>6431</f>
        <v>6431</v>
      </c>
      <c r="AQ41" s="37">
        <v>0</v>
      </c>
      <c r="AR41" s="37">
        <v>0</v>
      </c>
      <c r="AS41" s="37">
        <v>0</v>
      </c>
      <c r="AT41" s="37">
        <v>0</v>
      </c>
      <c r="AU41" s="37">
        <f>2902+7958</f>
        <v>10860</v>
      </c>
      <c r="AV41" s="37">
        <v>0</v>
      </c>
      <c r="AW41" s="37">
        <v>0</v>
      </c>
      <c r="AX41" s="37">
        <v>0</v>
      </c>
      <c r="AY41" s="37">
        <f>SUM(AN41:AX41)</f>
        <v>17291</v>
      </c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</row>
    <row r="42" spans="1:171" ht="15" customHeight="1" x14ac:dyDescent="0.35">
      <c r="A42" s="14" t="s">
        <v>71</v>
      </c>
      <c r="B42" s="23"/>
      <c r="C42" s="24" t="s">
        <v>72</v>
      </c>
      <c r="D42" s="37">
        <f>0</f>
        <v>0</v>
      </c>
      <c r="E42" s="37">
        <f>0</f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f>SUM(D42:M42)</f>
        <v>0</v>
      </c>
      <c r="O42" s="58"/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f>SUM(P42:Y42)</f>
        <v>0</v>
      </c>
      <c r="AA42" s="59"/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f>SUM(AB42:AK42)</f>
        <v>0</v>
      </c>
      <c r="AM42" s="60"/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f>SUM(AN42:AX42)</f>
        <v>0</v>
      </c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</row>
    <row r="43" spans="1:171" ht="15" customHeight="1" x14ac:dyDescent="0.35">
      <c r="A43" s="20">
        <v>60399</v>
      </c>
      <c r="B43" s="23"/>
      <c r="C43" s="26" t="s">
        <v>73</v>
      </c>
      <c r="D43" s="39">
        <f t="shared" ref="D43:M43" si="21">SUM(D39:D42)</f>
        <v>13105</v>
      </c>
      <c r="E43" s="39">
        <f t="shared" si="21"/>
        <v>335478</v>
      </c>
      <c r="F43" s="39">
        <f t="shared" si="21"/>
        <v>1185</v>
      </c>
      <c r="G43" s="39">
        <f t="shared" si="21"/>
        <v>0</v>
      </c>
      <c r="H43" s="39">
        <f t="shared" si="21"/>
        <v>25255</v>
      </c>
      <c r="I43" s="39">
        <f t="shared" si="21"/>
        <v>11189</v>
      </c>
      <c r="J43" s="39">
        <f t="shared" si="21"/>
        <v>148460</v>
      </c>
      <c r="K43" s="39">
        <f t="shared" si="21"/>
        <v>0</v>
      </c>
      <c r="L43" s="39">
        <f t="shared" si="21"/>
        <v>0</v>
      </c>
      <c r="M43" s="39">
        <f t="shared" si="21"/>
        <v>0</v>
      </c>
      <c r="N43" s="39">
        <f t="shared" ref="N43" si="22">SUM(N39:N42)</f>
        <v>534672</v>
      </c>
      <c r="O43" s="58"/>
      <c r="P43" s="39">
        <f t="shared" ref="P43:Y43" si="23">SUM(P39:P42)</f>
        <v>2546</v>
      </c>
      <c r="Q43" s="39">
        <f t="shared" si="23"/>
        <v>207974</v>
      </c>
      <c r="R43" s="39">
        <f t="shared" si="23"/>
        <v>77129.91</v>
      </c>
      <c r="S43" s="39">
        <f t="shared" si="23"/>
        <v>0</v>
      </c>
      <c r="T43" s="39">
        <f t="shared" si="23"/>
        <v>37907.46</v>
      </c>
      <c r="U43" s="39">
        <f t="shared" si="23"/>
        <v>27133.399999999998</v>
      </c>
      <c r="V43" s="39">
        <f t="shared" si="23"/>
        <v>390057.73</v>
      </c>
      <c r="W43" s="39">
        <f t="shared" si="23"/>
        <v>0</v>
      </c>
      <c r="X43" s="39">
        <f t="shared" si="23"/>
        <v>0</v>
      </c>
      <c r="Y43" s="39">
        <f t="shared" si="23"/>
        <v>0</v>
      </c>
      <c r="Z43" s="39">
        <f>SUM(Z39:Z42)</f>
        <v>742748.5</v>
      </c>
      <c r="AA43" s="59"/>
      <c r="AB43" s="39">
        <f t="shared" ref="AB43:AK43" si="24">SUM(AB39:AB42)</f>
        <v>2197</v>
      </c>
      <c r="AC43" s="39">
        <f t="shared" si="24"/>
        <v>260507</v>
      </c>
      <c r="AD43" s="39">
        <f t="shared" si="24"/>
        <v>64853</v>
      </c>
      <c r="AE43" s="39">
        <f t="shared" si="24"/>
        <v>0</v>
      </c>
      <c r="AF43" s="39">
        <f t="shared" si="24"/>
        <v>33715</v>
      </c>
      <c r="AG43" s="39">
        <f t="shared" si="24"/>
        <v>40062</v>
      </c>
      <c r="AH43" s="39">
        <f t="shared" si="24"/>
        <v>244271</v>
      </c>
      <c r="AI43" s="39">
        <f t="shared" si="24"/>
        <v>0</v>
      </c>
      <c r="AJ43" s="39">
        <f t="shared" si="24"/>
        <v>4127</v>
      </c>
      <c r="AK43" s="39">
        <f t="shared" si="24"/>
        <v>0</v>
      </c>
      <c r="AL43" s="39">
        <f>SUM(AL39:AL42)</f>
        <v>649732</v>
      </c>
      <c r="AM43" s="60"/>
      <c r="AN43" s="39">
        <f t="shared" ref="AN43:AX43" si="25">SUM(AN39:AN42)</f>
        <v>1076</v>
      </c>
      <c r="AO43" s="39">
        <f t="shared" si="25"/>
        <v>90771</v>
      </c>
      <c r="AP43" s="39">
        <f t="shared" si="25"/>
        <v>30900</v>
      </c>
      <c r="AQ43" s="39">
        <f t="shared" si="25"/>
        <v>0</v>
      </c>
      <c r="AR43" s="39">
        <f t="shared" si="25"/>
        <v>14701</v>
      </c>
      <c r="AS43" s="39">
        <f t="shared" si="25"/>
        <v>19774</v>
      </c>
      <c r="AT43" s="39">
        <f>SUM(AT39:AT42)</f>
        <v>0</v>
      </c>
      <c r="AU43" s="39">
        <f t="shared" si="25"/>
        <v>232102</v>
      </c>
      <c r="AV43" s="39">
        <f t="shared" si="25"/>
        <v>0</v>
      </c>
      <c r="AW43" s="39">
        <f t="shared" si="25"/>
        <v>1256</v>
      </c>
      <c r="AX43" s="39">
        <f t="shared" si="25"/>
        <v>0</v>
      </c>
      <c r="AY43" s="39">
        <f>SUM(AY39:AY42)</f>
        <v>390580</v>
      </c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</row>
    <row r="44" spans="1:171" ht="15" customHeight="1" x14ac:dyDescent="0.35">
      <c r="A44" s="14"/>
      <c r="B44" s="23"/>
      <c r="C44" s="26" t="s">
        <v>74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58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59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60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</row>
    <row r="45" spans="1:171" ht="15" customHeight="1" x14ac:dyDescent="0.35">
      <c r="A45" s="14" t="s">
        <v>75</v>
      </c>
      <c r="B45" s="23"/>
      <c r="C45" s="24" t="s">
        <v>76</v>
      </c>
      <c r="D45" s="37">
        <f>80365+60276+77862-9615+61109</f>
        <v>269997</v>
      </c>
      <c r="E45" s="37">
        <f>293755+289000+433570-151180+310019</f>
        <v>1175164</v>
      </c>
      <c r="F45" s="37">
        <v>5099</v>
      </c>
      <c r="G45" s="37">
        <v>0</v>
      </c>
      <c r="H45" s="37">
        <f>50408+42325+46209+31878</f>
        <v>170820</v>
      </c>
      <c r="I45" s="37">
        <f>10387+8312+12268+8206</f>
        <v>39173</v>
      </c>
      <c r="J45" s="37">
        <f>105085+103345+117616+80209</f>
        <v>406255</v>
      </c>
      <c r="K45" s="37">
        <v>0</v>
      </c>
      <c r="L45" s="37">
        <v>0</v>
      </c>
      <c r="M45" s="37">
        <v>0</v>
      </c>
      <c r="N45" s="37">
        <f t="shared" ref="N45:N53" si="26">SUM(D45:M45)</f>
        <v>2066508</v>
      </c>
      <c r="O45" s="58"/>
      <c r="P45" s="37">
        <f>67209+100245</f>
        <v>167454</v>
      </c>
      <c r="Q45" s="37">
        <f>996+488720+126589</f>
        <v>616305</v>
      </c>
      <c r="R45" s="37">
        <f>1710.09+41859.96+63864</f>
        <v>107434.04999999999</v>
      </c>
      <c r="S45" s="37">
        <v>0</v>
      </c>
      <c r="T45" s="37">
        <f>93615.94+49990.77</f>
        <v>143606.71</v>
      </c>
      <c r="U45" s="37">
        <f>124.89+60791.42+19490.19</f>
        <v>80406.5</v>
      </c>
      <c r="V45" s="37">
        <f>954.75+217893.73+104752.27</f>
        <v>323600.75</v>
      </c>
      <c r="W45" s="37">
        <v>0</v>
      </c>
      <c r="X45" s="37">
        <f>161+10591</f>
        <v>10752</v>
      </c>
      <c r="Y45" s="37">
        <v>0</v>
      </c>
      <c r="Z45" s="37">
        <f t="shared" ref="Z45:Z53" si="27">SUM(P45:Y45)</f>
        <v>1449559.01</v>
      </c>
      <c r="AA45" s="59"/>
      <c r="AB45" s="37">
        <f>21600+39200+32579+22163</f>
        <v>115542</v>
      </c>
      <c r="AC45" s="37">
        <f>191136+299179+290178+244969</f>
        <v>1025462</v>
      </c>
      <c r="AD45" s="37">
        <f>30449+44529+4230+11035</f>
        <v>90243</v>
      </c>
      <c r="AE45" s="37">
        <v>0</v>
      </c>
      <c r="AF45" s="37">
        <f>70892+80599+90871+91641</f>
        <v>334003</v>
      </c>
      <c r="AG45" s="37">
        <f>40453+34554+36290+41979</f>
        <v>153276</v>
      </c>
      <c r="AH45" s="37">
        <f>17510+2+78088+82900+98896</f>
        <v>277396</v>
      </c>
      <c r="AI45" s="37">
        <v>0</v>
      </c>
      <c r="AJ45" s="37">
        <f>-310+917+973+146</f>
        <v>1726</v>
      </c>
      <c r="AK45" s="37">
        <v>0</v>
      </c>
      <c r="AL45" s="37">
        <f t="shared" ref="AL45:AL53" si="28">SUM(AB45:AK45)</f>
        <v>1997648</v>
      </c>
      <c r="AM45" s="60"/>
      <c r="AN45" s="37">
        <f>38136+30572</f>
        <v>68708</v>
      </c>
      <c r="AO45" s="37">
        <f>307618+300663</f>
        <v>608281</v>
      </c>
      <c r="AP45" s="37">
        <f>-237+9113</f>
        <v>8876</v>
      </c>
      <c r="AQ45" s="37">
        <v>0</v>
      </c>
      <c r="AR45" s="37">
        <f>81286+82242</f>
        <v>163528</v>
      </c>
      <c r="AS45" s="37">
        <f>62178+61964</f>
        <v>124142</v>
      </c>
      <c r="AT45" s="37">
        <v>0</v>
      </c>
      <c r="AU45" s="37">
        <f>124311+88988</f>
        <v>213299</v>
      </c>
      <c r="AV45" s="37">
        <v>0</v>
      </c>
      <c r="AW45" s="37">
        <f>263+964</f>
        <v>1227</v>
      </c>
      <c r="AX45" s="37">
        <v>0</v>
      </c>
      <c r="AY45" s="37">
        <f t="shared" ref="AY45:AY53" si="29">SUM(AN45:AX45)</f>
        <v>1188061</v>
      </c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</row>
    <row r="46" spans="1:171" ht="15" customHeight="1" x14ac:dyDescent="0.35">
      <c r="A46" s="14" t="s">
        <v>77</v>
      </c>
      <c r="B46" s="23"/>
      <c r="C46" s="24" t="s">
        <v>78</v>
      </c>
      <c r="D46" s="37">
        <f>20520+19290+17466-2851+20408</f>
        <v>74833</v>
      </c>
      <c r="E46" s="37">
        <f>7432+4897+8048-3058+11007</f>
        <v>28326</v>
      </c>
      <c r="F46" s="37">
        <v>3194</v>
      </c>
      <c r="G46" s="37">
        <v>0</v>
      </c>
      <c r="H46" s="37">
        <f>102+138</f>
        <v>240</v>
      </c>
      <c r="I46" s="37">
        <f>263+141+228+291</f>
        <v>923</v>
      </c>
      <c r="J46" s="37">
        <f>27488+36359+9977+9605</f>
        <v>83429</v>
      </c>
      <c r="K46" s="37">
        <v>0</v>
      </c>
      <c r="L46" s="37">
        <v>0</v>
      </c>
      <c r="M46" s="37">
        <v>0</v>
      </c>
      <c r="N46" s="37">
        <f t="shared" si="26"/>
        <v>190945</v>
      </c>
      <c r="O46" s="58"/>
      <c r="P46" s="37">
        <f>51388+27208-14694</f>
        <v>63902</v>
      </c>
      <c r="Q46" s="37">
        <f>11871-1082+7920</f>
        <v>18709</v>
      </c>
      <c r="R46" s="37">
        <f>2511+4917</f>
        <v>7428</v>
      </c>
      <c r="S46" s="37">
        <v>0</v>
      </c>
      <c r="T46" s="37">
        <v>0</v>
      </c>
      <c r="U46" s="37">
        <f>1488.83-146.77+1098.8</f>
        <v>2440.8599999999997</v>
      </c>
      <c r="V46" s="37">
        <f>4565.73</f>
        <v>4565.7299999999996</v>
      </c>
      <c r="W46" s="37">
        <v>0</v>
      </c>
      <c r="X46" s="37">
        <v>0</v>
      </c>
      <c r="Y46" s="37">
        <v>0</v>
      </c>
      <c r="Z46" s="37">
        <f t="shared" si="27"/>
        <v>97045.59</v>
      </c>
      <c r="AA46" s="59"/>
      <c r="AB46" s="37">
        <f>22353+30962+13372+19246</f>
        <v>85933</v>
      </c>
      <c r="AC46" s="37">
        <f>8829+8653+11068+10005</f>
        <v>38555</v>
      </c>
      <c r="AD46" s="37">
        <f>2980+4568+2803+1917</f>
        <v>12268</v>
      </c>
      <c r="AE46" s="37">
        <v>0</v>
      </c>
      <c r="AF46" s="37">
        <v>0</v>
      </c>
      <c r="AG46" s="37">
        <f>1681+999+1372+1649</f>
        <v>5701</v>
      </c>
      <c r="AH46" s="37">
        <f>9804+8439+527+1491</f>
        <v>20261</v>
      </c>
      <c r="AI46" s="37">
        <v>0</v>
      </c>
      <c r="AJ46" s="37">
        <v>0</v>
      </c>
      <c r="AK46" s="37">
        <v>0</v>
      </c>
      <c r="AL46" s="37">
        <f t="shared" si="28"/>
        <v>162718</v>
      </c>
      <c r="AM46" s="60"/>
      <c r="AN46" s="37">
        <f>16940+35152</f>
        <v>52092</v>
      </c>
      <c r="AO46" s="37">
        <f>9506+6678</f>
        <v>16184</v>
      </c>
      <c r="AP46" s="37">
        <f>-87</f>
        <v>-87</v>
      </c>
      <c r="AQ46" s="37">
        <v>0</v>
      </c>
      <c r="AR46" s="37">
        <v>0</v>
      </c>
      <c r="AS46" s="37">
        <f>1992+1376</f>
        <v>3368</v>
      </c>
      <c r="AT46" s="37">
        <v>0</v>
      </c>
      <c r="AU46" s="37">
        <f>1394+1661</f>
        <v>3055</v>
      </c>
      <c r="AV46" s="37">
        <v>0</v>
      </c>
      <c r="AW46" s="37">
        <v>0</v>
      </c>
      <c r="AX46" s="37">
        <v>0</v>
      </c>
      <c r="AY46" s="37">
        <f t="shared" si="29"/>
        <v>74612</v>
      </c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</row>
    <row r="47" spans="1:171" ht="15" customHeight="1" x14ac:dyDescent="0.35">
      <c r="A47" s="14" t="s">
        <v>79</v>
      </c>
      <c r="B47" s="23"/>
      <c r="C47" s="24" t="s">
        <v>80</v>
      </c>
      <c r="D47" s="37">
        <f>33+108-6</f>
        <v>135</v>
      </c>
      <c r="E47" s="37">
        <f>98-24+104</f>
        <v>178</v>
      </c>
      <c r="F47" s="37">
        <v>0</v>
      </c>
      <c r="G47" s="37">
        <v>0</v>
      </c>
      <c r="H47" s="37">
        <f>5133+4832+3815+5377</f>
        <v>19157</v>
      </c>
      <c r="I47" s="37">
        <f>3+3</f>
        <v>6</v>
      </c>
      <c r="J47" s="37">
        <f>327</f>
        <v>327</v>
      </c>
      <c r="K47" s="37">
        <v>0</v>
      </c>
      <c r="L47" s="37">
        <v>0</v>
      </c>
      <c r="M47" s="37">
        <v>0</v>
      </c>
      <c r="N47" s="37">
        <f t="shared" si="26"/>
        <v>19803</v>
      </c>
      <c r="O47" s="58"/>
      <c r="P47" s="37">
        <f>177</f>
        <v>177</v>
      </c>
      <c r="Q47" s="37">
        <f>63-23+52</f>
        <v>92</v>
      </c>
      <c r="R47" s="37">
        <v>0</v>
      </c>
      <c r="S47" s="37">
        <v>0</v>
      </c>
      <c r="T47" s="37">
        <f>15172.56+4416.19+5347.37</f>
        <v>24936.12</v>
      </c>
      <c r="U47" s="37">
        <f>7.93-2.98+6.99</f>
        <v>11.94</v>
      </c>
      <c r="V47" s="37">
        <f>1755.68</f>
        <v>1755.68</v>
      </c>
      <c r="W47" s="37">
        <v>0</v>
      </c>
      <c r="X47" s="37">
        <v>0</v>
      </c>
      <c r="Y47" s="37">
        <v>0</v>
      </c>
      <c r="Z47" s="37">
        <f t="shared" si="27"/>
        <v>26972.739999999998</v>
      </c>
      <c r="AA47" s="59"/>
      <c r="AB47" s="37">
        <f>30+123+2-125</f>
        <v>30</v>
      </c>
      <c r="AC47" s="37">
        <f>-4+35-6</f>
        <v>25</v>
      </c>
      <c r="AD47" s="37">
        <v>0</v>
      </c>
      <c r="AE47" s="37">
        <v>0</v>
      </c>
      <c r="AF47" s="37">
        <f>7938+6113+15117+12975</f>
        <v>42143</v>
      </c>
      <c r="AG47" s="37">
        <f>1+4</f>
        <v>5</v>
      </c>
      <c r="AH47" s="37">
        <f>930-1+129-21</f>
        <v>1037</v>
      </c>
      <c r="AI47" s="37">
        <v>0</v>
      </c>
      <c r="AJ47" s="37">
        <v>0</v>
      </c>
      <c r="AK47" s="37">
        <v>0</v>
      </c>
      <c r="AL47" s="37">
        <f t="shared" si="28"/>
        <v>43240</v>
      </c>
      <c r="AM47" s="60"/>
      <c r="AN47" s="37">
        <v>0</v>
      </c>
      <c r="AO47" s="37">
        <f>163</f>
        <v>163</v>
      </c>
      <c r="AP47" s="37">
        <v>0</v>
      </c>
      <c r="AQ47" s="37">
        <v>0</v>
      </c>
      <c r="AR47" s="37">
        <f>24510+6185</f>
        <v>30695</v>
      </c>
      <c r="AS47" s="37">
        <f>25</f>
        <v>25</v>
      </c>
      <c r="AT47" s="37">
        <v>0</v>
      </c>
      <c r="AU47" s="37">
        <f>-23</f>
        <v>-23</v>
      </c>
      <c r="AV47" s="37">
        <v>0</v>
      </c>
      <c r="AW47" s="37">
        <v>0</v>
      </c>
      <c r="AX47" s="37">
        <v>0</v>
      </c>
      <c r="AY47" s="37">
        <f t="shared" si="29"/>
        <v>30860</v>
      </c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</row>
    <row r="48" spans="1:171" ht="15" customHeight="1" x14ac:dyDescent="0.35">
      <c r="A48" s="14" t="s">
        <v>81</v>
      </c>
      <c r="B48" s="23"/>
      <c r="C48" s="24" t="s">
        <v>82</v>
      </c>
      <c r="D48" s="37">
        <f>27303+14620+40126-3625+23468</f>
        <v>101892</v>
      </c>
      <c r="E48" s="37">
        <f>110219+110516+165173-60008+117728</f>
        <v>443628</v>
      </c>
      <c r="F48" s="37">
        <v>4025</v>
      </c>
      <c r="G48" s="37">
        <v>0</v>
      </c>
      <c r="H48" s="37">
        <v>0</v>
      </c>
      <c r="I48" s="37">
        <f>3897+3179+4673+3116</f>
        <v>14865</v>
      </c>
      <c r="J48" s="37">
        <f>4558+9966+9504+6393</f>
        <v>30421</v>
      </c>
      <c r="K48" s="37">
        <v>0</v>
      </c>
      <c r="L48" s="37">
        <v>0</v>
      </c>
      <c r="M48" s="37">
        <v>0</v>
      </c>
      <c r="N48" s="37">
        <f t="shared" si="26"/>
        <v>594831</v>
      </c>
      <c r="O48" s="58"/>
      <c r="P48" s="37">
        <f>21363+13264-10280</f>
        <v>24347</v>
      </c>
      <c r="Q48" s="37">
        <f>103234+42084+71704</f>
        <v>217022</v>
      </c>
      <c r="R48" s="37">
        <f>6324.49+3737</f>
        <v>10061.49</v>
      </c>
      <c r="S48" s="37">
        <v>0</v>
      </c>
      <c r="T48" s="37">
        <v>0</v>
      </c>
      <c r="U48" s="37">
        <f>12946.99+5129.3+10237.56</f>
        <v>28313.85</v>
      </c>
      <c r="V48" s="37">
        <f>7232.17+12554.45+18966.99</f>
        <v>38753.61</v>
      </c>
      <c r="W48" s="37">
        <v>0</v>
      </c>
      <c r="X48" s="37">
        <v>0</v>
      </c>
      <c r="Y48" s="37">
        <v>0</v>
      </c>
      <c r="Z48" s="37">
        <f t="shared" si="27"/>
        <v>318497.94999999995</v>
      </c>
      <c r="AA48" s="59"/>
      <c r="AB48" s="37">
        <f>644+46-1</f>
        <v>689</v>
      </c>
      <c r="AC48" s="37">
        <f>96131+123765+142040+13013</f>
        <v>374949</v>
      </c>
      <c r="AD48" s="37">
        <f>4656+11371-7422+420</f>
        <v>9025</v>
      </c>
      <c r="AE48" s="37">
        <v>0</v>
      </c>
      <c r="AF48" s="37">
        <f>105+237-49</f>
        <v>293</v>
      </c>
      <c r="AG48" s="37">
        <f>18560+14295+17656+5752</f>
        <v>56263</v>
      </c>
      <c r="AH48" s="37">
        <f>19965-1+19214+15397+33242</f>
        <v>87817</v>
      </c>
      <c r="AI48" s="37">
        <v>0</v>
      </c>
      <c r="AJ48" s="37">
        <v>0</v>
      </c>
      <c r="AK48" s="37">
        <v>0</v>
      </c>
      <c r="AL48" s="37">
        <f t="shared" si="28"/>
        <v>529036</v>
      </c>
      <c r="AM48" s="60"/>
      <c r="AN48" s="37">
        <f>3</f>
        <v>3</v>
      </c>
      <c r="AO48" s="37">
        <f>110893+89415</f>
        <v>200308</v>
      </c>
      <c r="AP48" s="37">
        <f>45+601</f>
        <v>646</v>
      </c>
      <c r="AQ48" s="37">
        <v>0</v>
      </c>
      <c r="AR48" s="37">
        <f>-3</f>
        <v>-3</v>
      </c>
      <c r="AS48" s="37">
        <f>22020+18428</f>
        <v>40448</v>
      </c>
      <c r="AT48" s="37">
        <v>0</v>
      </c>
      <c r="AU48" s="37">
        <f>15476+17864</f>
        <v>33340</v>
      </c>
      <c r="AV48" s="37">
        <v>0</v>
      </c>
      <c r="AW48" s="37">
        <v>0</v>
      </c>
      <c r="AX48" s="37">
        <v>0</v>
      </c>
      <c r="AY48" s="37">
        <f t="shared" si="29"/>
        <v>274742</v>
      </c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</row>
    <row r="49" spans="1:171" ht="15" customHeight="1" x14ac:dyDescent="0.35">
      <c r="A49" s="14" t="s">
        <v>83</v>
      </c>
      <c r="B49" s="23"/>
      <c r="C49" s="24" t="s">
        <v>84</v>
      </c>
      <c r="D49" s="37">
        <f>0</f>
        <v>0</v>
      </c>
      <c r="E49" s="37">
        <f>0</f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f t="shared" si="26"/>
        <v>0</v>
      </c>
      <c r="O49" s="58"/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f t="shared" si="27"/>
        <v>0</v>
      </c>
      <c r="AA49" s="59"/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f t="shared" si="28"/>
        <v>0</v>
      </c>
      <c r="AM49" s="60"/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f t="shared" si="29"/>
        <v>0</v>
      </c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</row>
    <row r="50" spans="1:171" ht="15" customHeight="1" x14ac:dyDescent="0.35">
      <c r="A50" s="14" t="s">
        <v>85</v>
      </c>
      <c r="B50" s="23"/>
      <c r="C50" s="24" t="s">
        <v>86</v>
      </c>
      <c r="D50" s="37">
        <f>0</f>
        <v>0</v>
      </c>
      <c r="E50" s="37">
        <f>3215+1499-1070</f>
        <v>3644</v>
      </c>
      <c r="F50" s="37">
        <v>0</v>
      </c>
      <c r="G50" s="37">
        <v>0</v>
      </c>
      <c r="H50" s="37">
        <f>3578+5150+1770+3309</f>
        <v>13807</v>
      </c>
      <c r="I50" s="37">
        <f>114+43</f>
        <v>157</v>
      </c>
      <c r="J50" s="37">
        <f>2571+1181+3012</f>
        <v>6764</v>
      </c>
      <c r="K50" s="37">
        <v>0</v>
      </c>
      <c r="L50" s="37">
        <v>0</v>
      </c>
      <c r="M50" s="37">
        <v>0</v>
      </c>
      <c r="N50" s="37">
        <f t="shared" si="26"/>
        <v>24372</v>
      </c>
      <c r="O50" s="58"/>
      <c r="P50" s="37">
        <v>0</v>
      </c>
      <c r="Q50" s="37">
        <v>0</v>
      </c>
      <c r="R50" s="37">
        <v>0</v>
      </c>
      <c r="S50" s="37">
        <v>0</v>
      </c>
      <c r="T50" s="37">
        <f>5137.3-1483.34-2134.99</f>
        <v>1518.9700000000003</v>
      </c>
      <c r="U50" s="37">
        <v>0</v>
      </c>
      <c r="V50" s="37">
        <f>2022.28</f>
        <v>2022.28</v>
      </c>
      <c r="W50" s="37">
        <v>0</v>
      </c>
      <c r="X50" s="37">
        <v>0</v>
      </c>
      <c r="Y50" s="37">
        <v>0</v>
      </c>
      <c r="Z50" s="37">
        <f t="shared" si="27"/>
        <v>3541.25</v>
      </c>
      <c r="AA50" s="59"/>
      <c r="AB50" s="37">
        <v>0</v>
      </c>
      <c r="AC50" s="37">
        <f>272+454+191</f>
        <v>917</v>
      </c>
      <c r="AD50" s="37">
        <v>2891</v>
      </c>
      <c r="AE50" s="37">
        <v>0</v>
      </c>
      <c r="AF50" s="37">
        <f>4687+1965+44+4711</f>
        <v>11407</v>
      </c>
      <c r="AG50" s="37">
        <f>31+56+37</f>
        <v>124</v>
      </c>
      <c r="AH50" s="37">
        <f>1141-1</f>
        <v>1140</v>
      </c>
      <c r="AI50" s="37">
        <v>0</v>
      </c>
      <c r="AJ50" s="37">
        <v>0</v>
      </c>
      <c r="AK50" s="37">
        <v>0</v>
      </c>
      <c r="AL50" s="37">
        <f t="shared" si="28"/>
        <v>16479</v>
      </c>
      <c r="AM50" s="60"/>
      <c r="AN50" s="37">
        <v>0</v>
      </c>
      <c r="AO50" s="37">
        <f>-52+155</f>
        <v>103</v>
      </c>
      <c r="AP50" s="37">
        <v>0</v>
      </c>
      <c r="AQ50" s="37">
        <v>0</v>
      </c>
      <c r="AR50" s="37">
        <f>2955+5363</f>
        <v>8318</v>
      </c>
      <c r="AS50" s="37">
        <f>9+32</f>
        <v>41</v>
      </c>
      <c r="AT50" s="37">
        <v>0</v>
      </c>
      <c r="AU50" s="37">
        <f>306</f>
        <v>306</v>
      </c>
      <c r="AV50" s="37">
        <v>0</v>
      </c>
      <c r="AW50" s="37">
        <v>0</v>
      </c>
      <c r="AX50" s="37">
        <v>0</v>
      </c>
      <c r="AY50" s="37">
        <f t="shared" si="29"/>
        <v>8768</v>
      </c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</row>
    <row r="51" spans="1:171" ht="15" customHeight="1" x14ac:dyDescent="0.35">
      <c r="A51" s="14" t="s">
        <v>87</v>
      </c>
      <c r="B51" s="23"/>
      <c r="C51" s="24" t="s">
        <v>88</v>
      </c>
      <c r="D51" s="37">
        <f>0</f>
        <v>0</v>
      </c>
      <c r="E51" s="37">
        <f>165978+165978+165978+114738</f>
        <v>612672</v>
      </c>
      <c r="F51" s="37">
        <v>0</v>
      </c>
      <c r="G51" s="37">
        <f>11675+336772</f>
        <v>348447</v>
      </c>
      <c r="H51" s="37">
        <f>951+1700</f>
        <v>2651</v>
      </c>
      <c r="I51" s="37">
        <f>67106+56736+67215+65111</f>
        <v>256168</v>
      </c>
      <c r="J51" s="37">
        <f>18724+13057+9888</f>
        <v>41669</v>
      </c>
      <c r="K51" s="37">
        <v>0</v>
      </c>
      <c r="L51" s="37">
        <v>0</v>
      </c>
      <c r="M51" s="37">
        <v>0</v>
      </c>
      <c r="N51" s="37">
        <f t="shared" si="26"/>
        <v>1261607</v>
      </c>
      <c r="O51" s="58"/>
      <c r="P51" s="37">
        <v>0</v>
      </c>
      <c r="Q51" s="37">
        <f>281461+296931+273679</f>
        <v>852071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f t="shared" si="27"/>
        <v>852071</v>
      </c>
      <c r="AA51" s="59"/>
      <c r="AB51" s="37">
        <v>0</v>
      </c>
      <c r="AC51" s="37">
        <v>0</v>
      </c>
      <c r="AD51" s="37">
        <v>0</v>
      </c>
      <c r="AE51" s="37">
        <v>242098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f t="shared" si="28"/>
        <v>242098</v>
      </c>
      <c r="AM51" s="60"/>
      <c r="AN51" s="37">
        <v>0</v>
      </c>
      <c r="AO51" s="37">
        <v>0</v>
      </c>
      <c r="AP51" s="37">
        <v>0</v>
      </c>
      <c r="AQ51" s="37">
        <v>71200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f t="shared" si="29"/>
        <v>71200</v>
      </c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</row>
    <row r="52" spans="1:171" ht="15" customHeight="1" x14ac:dyDescent="0.35">
      <c r="A52" s="14" t="s">
        <v>89</v>
      </c>
      <c r="B52" s="23"/>
      <c r="C52" s="24" t="s">
        <v>90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>
        <f t="shared" si="26"/>
        <v>0</v>
      </c>
      <c r="O52" s="58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59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>
        <f t="shared" si="28"/>
        <v>0</v>
      </c>
      <c r="AM52" s="60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</row>
    <row r="53" spans="1:171" ht="15" customHeight="1" x14ac:dyDescent="0.35">
      <c r="A53" s="14" t="s">
        <v>91</v>
      </c>
      <c r="B53" s="23"/>
      <c r="C53" s="24" t="s">
        <v>92</v>
      </c>
      <c r="D53" s="37">
        <f>4689+7206+5578-782+5306</f>
        <v>21997</v>
      </c>
      <c r="E53" s="37">
        <f>79209+93026+111807-45464+87363</f>
        <v>325941</v>
      </c>
      <c r="F53" s="37">
        <v>1017</v>
      </c>
      <c r="G53" s="37">
        <v>0</v>
      </c>
      <c r="H53" s="37">
        <f>3593+1669+2927+2931</f>
        <v>11120</v>
      </c>
      <c r="I53" s="37">
        <f>2801+2676+3164+2312</f>
        <v>10953</v>
      </c>
      <c r="J53" s="37">
        <f>29476+15746+22121+27386</f>
        <v>94729</v>
      </c>
      <c r="K53" s="37">
        <v>0</v>
      </c>
      <c r="L53" s="37">
        <v>0</v>
      </c>
      <c r="M53" s="37">
        <v>0</v>
      </c>
      <c r="N53" s="37">
        <f t="shared" si="26"/>
        <v>465757</v>
      </c>
      <c r="O53" s="58"/>
      <c r="P53" s="37">
        <f>22171-8899+35294</f>
        <v>48566</v>
      </c>
      <c r="Q53" s="37">
        <f>102559+16410+75216</f>
        <v>194185</v>
      </c>
      <c r="R53" s="37">
        <f>487.84+40727.49+17782</f>
        <v>58997.329999999994</v>
      </c>
      <c r="S53" s="37">
        <v>0</v>
      </c>
      <c r="T53" s="37">
        <f>23661.96+2898.94-1325.67</f>
        <v>25235.229999999996</v>
      </c>
      <c r="U53" s="37">
        <f>12862.29+1936.41+10535.69</f>
        <v>25334.39</v>
      </c>
      <c r="V53" s="37">
        <f>41131.78+59192.8+40716.83</f>
        <v>141041.41</v>
      </c>
      <c r="W53" s="37">
        <v>0</v>
      </c>
      <c r="X53" s="37">
        <v>0</v>
      </c>
      <c r="Y53" s="37">
        <v>0</v>
      </c>
      <c r="Z53" s="37">
        <f t="shared" si="27"/>
        <v>493359.35999999999</v>
      </c>
      <c r="AA53" s="59"/>
      <c r="AB53" s="37">
        <f>13575+16966+1775+16725</f>
        <v>49041</v>
      </c>
      <c r="AC53" s="37">
        <f>70942+82200+71775-7979</f>
        <v>216938</v>
      </c>
      <c r="AD53" s="37">
        <f>18438+34610+4371+4573</f>
        <v>61992</v>
      </c>
      <c r="AE53" s="37">
        <v>0</v>
      </c>
      <c r="AF53" s="37">
        <f>19868+15000+13174+26035</f>
        <v>74077</v>
      </c>
      <c r="AG53" s="37">
        <f>14351+9494+9015+1233</f>
        <v>34093</v>
      </c>
      <c r="AH53" s="37">
        <f>1493-1+21973+24882+12793</f>
        <v>61140</v>
      </c>
      <c r="AI53" s="37">
        <v>0</v>
      </c>
      <c r="AJ53" s="37">
        <v>0</v>
      </c>
      <c r="AK53" s="37">
        <v>0</v>
      </c>
      <c r="AL53" s="37">
        <f t="shared" si="28"/>
        <v>497281</v>
      </c>
      <c r="AM53" s="60"/>
      <c r="AN53" s="37">
        <f>-5513+7208</f>
        <v>1695</v>
      </c>
      <c r="AO53" s="37">
        <f>75927+34362</f>
        <v>110289</v>
      </c>
      <c r="AP53" s="37">
        <f>23+632</f>
        <v>655</v>
      </c>
      <c r="AQ53" s="37">
        <v>0</v>
      </c>
      <c r="AR53" s="37">
        <f>-2967+14895</f>
        <v>11928</v>
      </c>
      <c r="AS53" s="37">
        <f>14267+7082</f>
        <v>21349</v>
      </c>
      <c r="AT53" s="37">
        <v>0</v>
      </c>
      <c r="AU53" s="37">
        <f>44630+24159</f>
        <v>68789</v>
      </c>
      <c r="AV53" s="37">
        <v>0</v>
      </c>
      <c r="AW53" s="37">
        <v>0</v>
      </c>
      <c r="AX53" s="37">
        <v>0</v>
      </c>
      <c r="AY53" s="37">
        <f t="shared" si="29"/>
        <v>214705</v>
      </c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</row>
    <row r="54" spans="1:171" ht="15" customHeight="1" x14ac:dyDescent="0.35">
      <c r="A54" s="20">
        <v>60499</v>
      </c>
      <c r="B54" s="23"/>
      <c r="C54" s="26" t="s">
        <v>93</v>
      </c>
      <c r="D54" s="39">
        <f t="shared" ref="D54:M54" si="30">SUM(D45:D53)</f>
        <v>468854</v>
      </c>
      <c r="E54" s="39">
        <f t="shared" si="30"/>
        <v>2589553</v>
      </c>
      <c r="F54" s="39">
        <f t="shared" si="30"/>
        <v>13335</v>
      </c>
      <c r="G54" s="39">
        <f t="shared" si="30"/>
        <v>348447</v>
      </c>
      <c r="H54" s="39">
        <f t="shared" si="30"/>
        <v>217795</v>
      </c>
      <c r="I54" s="39">
        <f t="shared" si="30"/>
        <v>322245</v>
      </c>
      <c r="J54" s="39">
        <f t="shared" si="30"/>
        <v>663594</v>
      </c>
      <c r="K54" s="39">
        <f t="shared" si="30"/>
        <v>0</v>
      </c>
      <c r="L54" s="39">
        <f t="shared" si="30"/>
        <v>0</v>
      </c>
      <c r="M54" s="39">
        <f t="shared" si="30"/>
        <v>0</v>
      </c>
      <c r="N54" s="39">
        <f t="shared" ref="N54" si="31">SUM(N45:N53)</f>
        <v>4623823</v>
      </c>
      <c r="O54" s="58"/>
      <c r="P54" s="39">
        <f t="shared" ref="P54:Y54" si="32">SUM(P45:P53)</f>
        <v>304446</v>
      </c>
      <c r="Q54" s="39">
        <f t="shared" si="32"/>
        <v>1898384</v>
      </c>
      <c r="R54" s="39">
        <f t="shared" si="32"/>
        <v>183920.87</v>
      </c>
      <c r="S54" s="39">
        <f t="shared" si="32"/>
        <v>0</v>
      </c>
      <c r="T54" s="39">
        <f t="shared" si="32"/>
        <v>195297.02999999997</v>
      </c>
      <c r="U54" s="39">
        <f t="shared" si="32"/>
        <v>136507.53999999998</v>
      </c>
      <c r="V54" s="39">
        <f t="shared" si="32"/>
        <v>511739.45999999996</v>
      </c>
      <c r="W54" s="39">
        <f t="shared" si="32"/>
        <v>0</v>
      </c>
      <c r="X54" s="39">
        <f t="shared" si="32"/>
        <v>10752</v>
      </c>
      <c r="Y54" s="39">
        <f t="shared" si="32"/>
        <v>0</v>
      </c>
      <c r="Z54" s="39">
        <f>SUM(Z45:Z53)</f>
        <v>3241046.9</v>
      </c>
      <c r="AA54" s="59"/>
      <c r="AB54" s="39">
        <f t="shared" ref="AB54:AK54" si="33">SUM(AB45:AB53)</f>
        <v>251235</v>
      </c>
      <c r="AC54" s="39">
        <f t="shared" si="33"/>
        <v>1656846</v>
      </c>
      <c r="AD54" s="39">
        <f t="shared" si="33"/>
        <v>176419</v>
      </c>
      <c r="AE54" s="39">
        <f t="shared" ref="AE54" si="34">SUM(AE45:AE53)</f>
        <v>242098</v>
      </c>
      <c r="AF54" s="39">
        <f t="shared" si="33"/>
        <v>461923</v>
      </c>
      <c r="AG54" s="39">
        <f t="shared" si="33"/>
        <v>249462</v>
      </c>
      <c r="AH54" s="39">
        <f t="shared" si="33"/>
        <v>448791</v>
      </c>
      <c r="AI54" s="39">
        <f t="shared" si="33"/>
        <v>0</v>
      </c>
      <c r="AJ54" s="39">
        <f t="shared" si="33"/>
        <v>1726</v>
      </c>
      <c r="AK54" s="39">
        <f t="shared" si="33"/>
        <v>0</v>
      </c>
      <c r="AL54" s="39">
        <f>SUM(AL45:AL53)</f>
        <v>3488500</v>
      </c>
      <c r="AM54" s="60"/>
      <c r="AN54" s="39">
        <f t="shared" ref="AN54:AX54" si="35">SUM(AN45:AN53)</f>
        <v>122498</v>
      </c>
      <c r="AO54" s="39">
        <f t="shared" si="35"/>
        <v>935328</v>
      </c>
      <c r="AP54" s="39">
        <f t="shared" si="35"/>
        <v>10090</v>
      </c>
      <c r="AQ54" s="39">
        <f t="shared" si="35"/>
        <v>71200</v>
      </c>
      <c r="AR54" s="39">
        <f t="shared" si="35"/>
        <v>214466</v>
      </c>
      <c r="AS54" s="39">
        <f t="shared" si="35"/>
        <v>189373</v>
      </c>
      <c r="AT54" s="39">
        <f>SUM(AT45:AT53)</f>
        <v>0</v>
      </c>
      <c r="AU54" s="39">
        <f t="shared" si="35"/>
        <v>318766</v>
      </c>
      <c r="AV54" s="39">
        <f t="shared" si="35"/>
        <v>0</v>
      </c>
      <c r="AW54" s="39">
        <f t="shared" si="35"/>
        <v>1227</v>
      </c>
      <c r="AX54" s="39">
        <f t="shared" si="35"/>
        <v>0</v>
      </c>
      <c r="AY54" s="39">
        <f>SUM(AY45:AY53)</f>
        <v>1862948</v>
      </c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</row>
    <row r="55" spans="1:171" ht="15" customHeight="1" x14ac:dyDescent="0.35">
      <c r="A55" s="14"/>
      <c r="B55" s="23"/>
      <c r="C55" s="26" t="s">
        <v>94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58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59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60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</row>
    <row r="56" spans="1:171" ht="15" customHeight="1" x14ac:dyDescent="0.35">
      <c r="A56" s="14" t="s">
        <v>95</v>
      </c>
      <c r="B56" s="23"/>
      <c r="C56" s="24" t="s">
        <v>96</v>
      </c>
      <c r="D56" s="37">
        <f>122097+111462+121601-15689+87920</f>
        <v>427391</v>
      </c>
      <c r="E56" s="37">
        <f>1734+3120+11990-1975-10336</f>
        <v>4533</v>
      </c>
      <c r="F56" s="37">
        <v>0</v>
      </c>
      <c r="G56" s="37">
        <v>0</v>
      </c>
      <c r="H56" s="37">
        <f>4135+2050+3436-6755</f>
        <v>2866</v>
      </c>
      <c r="I56" s="37">
        <f>61+90+339-274</f>
        <v>216</v>
      </c>
      <c r="J56" s="37">
        <f>4704-3099</f>
        <v>1605</v>
      </c>
      <c r="K56" s="37">
        <v>0</v>
      </c>
      <c r="L56" s="37">
        <f>7816+10722+6652+23362</f>
        <v>48552</v>
      </c>
      <c r="M56" s="37">
        <v>0</v>
      </c>
      <c r="N56" s="37">
        <f>SUM(D56:M56)</f>
        <v>485163</v>
      </c>
      <c r="O56" s="58"/>
      <c r="P56" s="37">
        <f>84043-20197+146241</f>
        <v>210087</v>
      </c>
      <c r="Q56" s="37">
        <f>207912-194442+59214</f>
        <v>72684</v>
      </c>
      <c r="R56" s="37">
        <f>6581.45-1850</f>
        <v>4731.45</v>
      </c>
      <c r="S56" s="37">
        <v>0</v>
      </c>
      <c r="T56" s="37">
        <f>81712.26-81712.26</f>
        <v>0</v>
      </c>
      <c r="U56" s="37">
        <f>26074.92-24399.4+2531.95</f>
        <v>4207.4699999999966</v>
      </c>
      <c r="V56" s="37">
        <v>0</v>
      </c>
      <c r="W56" s="37">
        <v>0</v>
      </c>
      <c r="X56" s="37">
        <f>12213+6491+26960</f>
        <v>45664</v>
      </c>
      <c r="Y56" s="37">
        <v>0</v>
      </c>
      <c r="Z56" s="37">
        <f>SUM(P56:Y56)</f>
        <v>337373.92</v>
      </c>
      <c r="AA56" s="59"/>
      <c r="AB56" s="37">
        <f>299112+158522+161010+223095</f>
        <v>841739</v>
      </c>
      <c r="AC56" s="37">
        <f>44733+26237+27534+37042</f>
        <v>135546</v>
      </c>
      <c r="AD56" s="37">
        <f>11813+3827+3731+2666</f>
        <v>22037</v>
      </c>
      <c r="AE56" s="37">
        <v>0</v>
      </c>
      <c r="AF56" s="37">
        <v>0</v>
      </c>
      <c r="AG56" s="37">
        <f>2054+1230+1129+2315</f>
        <v>6728</v>
      </c>
      <c r="AH56" s="37">
        <f>114382+22752+31199+17009</f>
        <v>185342</v>
      </c>
      <c r="AI56" s="37">
        <v>0</v>
      </c>
      <c r="AJ56" s="37">
        <f>-586+1119+1198+602</f>
        <v>2333</v>
      </c>
      <c r="AK56" s="37">
        <v>0</v>
      </c>
      <c r="AL56" s="37">
        <f>SUM(AB56:AK56)</f>
        <v>1193725</v>
      </c>
      <c r="AM56" s="60"/>
      <c r="AN56" s="37">
        <f>162860+119264</f>
        <v>282124</v>
      </c>
      <c r="AO56" s="37">
        <f>32518+27378</f>
        <v>59896</v>
      </c>
      <c r="AP56" s="37">
        <f>454+69</f>
        <v>523</v>
      </c>
      <c r="AQ56" s="37">
        <v>0</v>
      </c>
      <c r="AR56" s="37">
        <f>5158</f>
        <v>5158</v>
      </c>
      <c r="AS56" s="37">
        <f>2185+1395</f>
        <v>3580</v>
      </c>
      <c r="AT56" s="37">
        <v>0</v>
      </c>
      <c r="AU56" s="37">
        <f>7301+22590</f>
        <v>29891</v>
      </c>
      <c r="AV56" s="37">
        <v>0</v>
      </c>
      <c r="AW56" s="37">
        <f>-193+56</f>
        <v>-137</v>
      </c>
      <c r="AX56" s="37">
        <v>0</v>
      </c>
      <c r="AY56" s="37">
        <f>SUM(AN56:AX56)</f>
        <v>381035</v>
      </c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</row>
    <row r="57" spans="1:171" ht="15" customHeight="1" x14ac:dyDescent="0.35">
      <c r="A57" s="14" t="s">
        <v>97</v>
      </c>
      <c r="B57" s="23"/>
      <c r="C57" s="24" t="s">
        <v>98</v>
      </c>
      <c r="D57" s="37">
        <f>23539+29320+64780-4960+108192</f>
        <v>220871</v>
      </c>
      <c r="E57" s="37">
        <f>570+2579+17940-2380-190-13267</f>
        <v>5252</v>
      </c>
      <c r="F57" s="37">
        <v>5174</v>
      </c>
      <c r="G57" s="37">
        <v>0</v>
      </c>
      <c r="H57" s="37">
        <v>0</v>
      </c>
      <c r="I57" s="37">
        <f>20+74+504-(6)-351</f>
        <v>241</v>
      </c>
      <c r="J57" s="37">
        <f>1607+16852-10968</f>
        <v>7491</v>
      </c>
      <c r="K57" s="37">
        <v>0</v>
      </c>
      <c r="L57" s="37">
        <f>4970+1728+5201+2321</f>
        <v>14220</v>
      </c>
      <c r="M57" s="37">
        <v>0</v>
      </c>
      <c r="N57" s="37">
        <f>SUM(D57:M57)</f>
        <v>253249</v>
      </c>
      <c r="O57" s="58"/>
      <c r="P57" s="37">
        <f>94179+43542+118699</f>
        <v>256420</v>
      </c>
      <c r="Q57" s="37">
        <f>32151+10860+27097</f>
        <v>70108</v>
      </c>
      <c r="R57" s="37">
        <f>2985.48+11112.3+36401</f>
        <v>50498.78</v>
      </c>
      <c r="S57" s="37">
        <v>0</v>
      </c>
      <c r="T57" s="37">
        <v>0</v>
      </c>
      <c r="U57" s="37">
        <f>4032.02+1318.17+3796.48</f>
        <v>9146.67</v>
      </c>
      <c r="V57" s="37">
        <v>0</v>
      </c>
      <c r="W57" s="37">
        <v>0</v>
      </c>
      <c r="X57" s="37">
        <f>3927+3620+4791</f>
        <v>12338</v>
      </c>
      <c r="Y57" s="37">
        <v>0</v>
      </c>
      <c r="Z57" s="37">
        <f>SUM(P57:Y57)</f>
        <v>398511.45</v>
      </c>
      <c r="AA57" s="59"/>
      <c r="AB57" s="37">
        <f>-128108+33754+52605+30351</f>
        <v>-11398</v>
      </c>
      <c r="AC57" s="37">
        <f>-13477+17833+23632+5193</f>
        <v>33181</v>
      </c>
      <c r="AD57" s="37">
        <f>30076+7514+2328+6451</f>
        <v>46369</v>
      </c>
      <c r="AE57" s="37">
        <v>0</v>
      </c>
      <c r="AF57" s="37">
        <v>0</v>
      </c>
      <c r="AG57" s="37">
        <f>-670+2060+2924+1325</f>
        <v>5639</v>
      </c>
      <c r="AH57" s="37">
        <f>536044+92956+128466+28305</f>
        <v>785771</v>
      </c>
      <c r="AI57" s="37">
        <v>0</v>
      </c>
      <c r="AJ57" s="37">
        <f>47840-33376+3962+2698+3124</f>
        <v>24248</v>
      </c>
      <c r="AK57" s="37">
        <v>0</v>
      </c>
      <c r="AL57" s="37">
        <f>SUM(AB57:AK57)</f>
        <v>883810</v>
      </c>
      <c r="AM57" s="60"/>
      <c r="AN57" s="37">
        <f>35309+56132</f>
        <v>91441</v>
      </c>
      <c r="AO57" s="37">
        <f>4056+10162</f>
        <v>14218</v>
      </c>
      <c r="AP57" s="37">
        <f>1080</f>
        <v>1080</v>
      </c>
      <c r="AQ57" s="37">
        <v>0</v>
      </c>
      <c r="AR57" s="37">
        <v>0</v>
      </c>
      <c r="AS57" s="37">
        <f>1463+2094</f>
        <v>3557</v>
      </c>
      <c r="AT57" s="37">
        <v>0</v>
      </c>
      <c r="AU57" s="37">
        <f>9805+62063</f>
        <v>71868</v>
      </c>
      <c r="AV57" s="37">
        <v>0</v>
      </c>
      <c r="AW57" s="37">
        <f>-746+2889</f>
        <v>2143</v>
      </c>
      <c r="AX57" s="37">
        <v>0</v>
      </c>
      <c r="AY57" s="37">
        <f>SUM(AN57:AX57)</f>
        <v>184307</v>
      </c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</row>
    <row r="58" spans="1:171" ht="15" customHeight="1" x14ac:dyDescent="0.35">
      <c r="A58" s="14" t="s">
        <v>99</v>
      </c>
      <c r="B58" s="23"/>
      <c r="C58" s="24" t="s">
        <v>100</v>
      </c>
      <c r="D58" s="37">
        <f>133601+174031+168725+79125</f>
        <v>555482</v>
      </c>
      <c r="E58" s="37">
        <f>0</f>
        <v>0</v>
      </c>
      <c r="F58" s="37">
        <v>0</v>
      </c>
      <c r="G58" s="37">
        <v>0</v>
      </c>
      <c r="H58" s="37">
        <f>161+168+168-336</f>
        <v>161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f>SUM(D58:M58)</f>
        <v>555643</v>
      </c>
      <c r="O58" s="58"/>
      <c r="P58" s="37">
        <f>79125+79125+79125</f>
        <v>237375</v>
      </c>
      <c r="Q58" s="37">
        <f>6637+4143+13102</f>
        <v>23882</v>
      </c>
      <c r="R58" s="37">
        <v>0</v>
      </c>
      <c r="S58" s="37">
        <v>0</v>
      </c>
      <c r="T58" s="37">
        <v>0</v>
      </c>
      <c r="U58" s="37">
        <f>1348.87+17.74+1068.5</f>
        <v>2435.1099999999997</v>
      </c>
      <c r="V58" s="37">
        <v>0</v>
      </c>
      <c r="W58" s="37">
        <v>0</v>
      </c>
      <c r="X58" s="37">
        <v>0</v>
      </c>
      <c r="Y58" s="37">
        <v>0</v>
      </c>
      <c r="Z58" s="37">
        <f>SUM(P58:Y58)</f>
        <v>263692.11</v>
      </c>
      <c r="AA58" s="59"/>
      <c r="AB58" s="37">
        <f>113901+91884+91257+88286</f>
        <v>385328</v>
      </c>
      <c r="AC58" s="37">
        <f>-4148+6999+4511+9046</f>
        <v>16408</v>
      </c>
      <c r="AD58" s="37">
        <f>890+99+245+230</f>
        <v>1464</v>
      </c>
      <c r="AE58" s="37">
        <v>0</v>
      </c>
      <c r="AF58" s="37">
        <v>0</v>
      </c>
      <c r="AG58" s="37">
        <f>519+808+576+1396</f>
        <v>3299</v>
      </c>
      <c r="AH58" s="37">
        <f>21512-1+3425+4235+1705</f>
        <v>30876</v>
      </c>
      <c r="AI58" s="37">
        <v>0</v>
      </c>
      <c r="AJ58" s="37">
        <v>0</v>
      </c>
      <c r="AK58" s="37">
        <v>0</v>
      </c>
      <c r="AL58" s="37">
        <f>SUM(AB58:AK58)</f>
        <v>437375</v>
      </c>
      <c r="AM58" s="60"/>
      <c r="AN58" s="37">
        <f>96277+87163</f>
        <v>183440</v>
      </c>
      <c r="AO58" s="37">
        <f>-16624+1478</f>
        <v>-15146</v>
      </c>
      <c r="AP58" s="37">
        <f>435</f>
        <v>435</v>
      </c>
      <c r="AQ58" s="37">
        <v>0</v>
      </c>
      <c r="AR58" s="37">
        <f>808</f>
        <v>808</v>
      </c>
      <c r="AS58" s="37">
        <f>1191+305</f>
        <v>1496</v>
      </c>
      <c r="AT58" s="37">
        <v>0</v>
      </c>
      <c r="AU58" s="37">
        <f>2425+3463</f>
        <v>5888</v>
      </c>
      <c r="AV58" s="37">
        <v>0</v>
      </c>
      <c r="AW58" s="37">
        <v>0</v>
      </c>
      <c r="AX58" s="37">
        <v>0</v>
      </c>
      <c r="AY58" s="37">
        <f>SUM(AN58:AX58)</f>
        <v>176921</v>
      </c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</row>
    <row r="59" spans="1:171" ht="15" customHeight="1" x14ac:dyDescent="0.35">
      <c r="A59" s="20">
        <v>60599</v>
      </c>
      <c r="B59" s="23"/>
      <c r="C59" s="26" t="s">
        <v>101</v>
      </c>
      <c r="D59" s="39">
        <f t="shared" ref="D59:M59" si="36">SUM(D56:D58)</f>
        <v>1203744</v>
      </c>
      <c r="E59" s="39">
        <f t="shared" si="36"/>
        <v>9785</v>
      </c>
      <c r="F59" s="39">
        <f t="shared" si="36"/>
        <v>5174</v>
      </c>
      <c r="G59" s="39">
        <f t="shared" si="36"/>
        <v>0</v>
      </c>
      <c r="H59" s="39">
        <f t="shared" si="36"/>
        <v>3027</v>
      </c>
      <c r="I59" s="39">
        <f t="shared" si="36"/>
        <v>457</v>
      </c>
      <c r="J59" s="39">
        <f t="shared" si="36"/>
        <v>9096</v>
      </c>
      <c r="K59" s="39">
        <f t="shared" si="36"/>
        <v>0</v>
      </c>
      <c r="L59" s="39">
        <f t="shared" si="36"/>
        <v>62772</v>
      </c>
      <c r="M59" s="39">
        <f t="shared" si="36"/>
        <v>0</v>
      </c>
      <c r="N59" s="39">
        <f t="shared" ref="N59" si="37">SUM(N56:N58)</f>
        <v>1294055</v>
      </c>
      <c r="O59" s="58"/>
      <c r="P59" s="39">
        <f t="shared" ref="P59:Y59" si="38">SUM(P56:P58)</f>
        <v>703882</v>
      </c>
      <c r="Q59" s="39">
        <f t="shared" si="38"/>
        <v>166674</v>
      </c>
      <c r="R59" s="39">
        <f t="shared" si="38"/>
        <v>55230.229999999996</v>
      </c>
      <c r="S59" s="39">
        <f t="shared" si="38"/>
        <v>0</v>
      </c>
      <c r="T59" s="39">
        <f t="shared" si="38"/>
        <v>0</v>
      </c>
      <c r="U59" s="39">
        <f t="shared" si="38"/>
        <v>15789.249999999996</v>
      </c>
      <c r="V59" s="39">
        <f t="shared" si="38"/>
        <v>0</v>
      </c>
      <c r="W59" s="39">
        <f t="shared" si="38"/>
        <v>0</v>
      </c>
      <c r="X59" s="39">
        <f t="shared" si="38"/>
        <v>58002</v>
      </c>
      <c r="Y59" s="39">
        <f t="shared" si="38"/>
        <v>0</v>
      </c>
      <c r="Z59" s="39">
        <f>SUM(Z56:Z58)</f>
        <v>999577.48</v>
      </c>
      <c r="AA59" s="59"/>
      <c r="AB59" s="39">
        <f t="shared" ref="AB59:AK59" si="39">SUM(AB56:AB58)</f>
        <v>1215669</v>
      </c>
      <c r="AC59" s="39">
        <f t="shared" si="39"/>
        <v>185135</v>
      </c>
      <c r="AD59" s="39">
        <f t="shared" si="39"/>
        <v>69870</v>
      </c>
      <c r="AE59" s="39">
        <f t="shared" si="39"/>
        <v>0</v>
      </c>
      <c r="AF59" s="39">
        <f t="shared" si="39"/>
        <v>0</v>
      </c>
      <c r="AG59" s="39">
        <f t="shared" si="39"/>
        <v>15666</v>
      </c>
      <c r="AH59" s="39">
        <f t="shared" si="39"/>
        <v>1001989</v>
      </c>
      <c r="AI59" s="39">
        <f t="shared" si="39"/>
        <v>0</v>
      </c>
      <c r="AJ59" s="39">
        <f t="shared" si="39"/>
        <v>26581</v>
      </c>
      <c r="AK59" s="39">
        <f t="shared" si="39"/>
        <v>0</v>
      </c>
      <c r="AL59" s="39">
        <f>SUM(AL56:AL58)</f>
        <v>2514910</v>
      </c>
      <c r="AM59" s="60"/>
      <c r="AN59" s="39">
        <f t="shared" ref="AN59:AX59" si="40">SUM(AN56:AN58)</f>
        <v>557005</v>
      </c>
      <c r="AO59" s="39">
        <f t="shared" si="40"/>
        <v>58968</v>
      </c>
      <c r="AP59" s="39">
        <f t="shared" si="40"/>
        <v>2038</v>
      </c>
      <c r="AQ59" s="39">
        <f t="shared" si="40"/>
        <v>0</v>
      </c>
      <c r="AR59" s="39">
        <f t="shared" si="40"/>
        <v>5966</v>
      </c>
      <c r="AS59" s="39">
        <f t="shared" si="40"/>
        <v>8633</v>
      </c>
      <c r="AT59" s="39">
        <f>SUM(AT56:AT58)</f>
        <v>0</v>
      </c>
      <c r="AU59" s="39">
        <f t="shared" si="40"/>
        <v>107647</v>
      </c>
      <c r="AV59" s="39">
        <f t="shared" si="40"/>
        <v>0</v>
      </c>
      <c r="AW59" s="39">
        <f t="shared" si="40"/>
        <v>2006</v>
      </c>
      <c r="AX59" s="39">
        <f t="shared" si="40"/>
        <v>0</v>
      </c>
      <c r="AY59" s="39">
        <f>SUM(AY56:AY58)</f>
        <v>742263</v>
      </c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</row>
    <row r="60" spans="1:171" ht="15" customHeight="1" x14ac:dyDescent="0.35">
      <c r="A60" s="14"/>
      <c r="B60" s="24"/>
      <c r="C60" s="26" t="s">
        <v>102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8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59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60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</row>
    <row r="61" spans="1:171" ht="15" customHeight="1" x14ac:dyDescent="0.35">
      <c r="A61" s="14" t="s">
        <v>103</v>
      </c>
      <c r="B61" s="23"/>
      <c r="C61" s="24" t="s">
        <v>104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8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59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60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</row>
    <row r="62" spans="1:171" ht="15" customHeight="1" x14ac:dyDescent="0.35">
      <c r="A62" s="14"/>
      <c r="B62" s="23" t="s">
        <v>43</v>
      </c>
      <c r="C62" s="25" t="s">
        <v>105</v>
      </c>
      <c r="D62" s="37">
        <f>19396+24452+18076-3423+35088</f>
        <v>93589</v>
      </c>
      <c r="E62" s="37">
        <v>0</v>
      </c>
      <c r="F62" s="37">
        <v>9908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f>222426+169560+170955+383089</f>
        <v>946030</v>
      </c>
      <c r="M62" s="37">
        <v>0</v>
      </c>
      <c r="N62" s="37">
        <f t="shared" ref="N62:N70" si="41">SUM(D62:M62)</f>
        <v>1049527</v>
      </c>
      <c r="O62" s="58"/>
      <c r="P62" s="37">
        <f>45198+66037+10438</f>
        <v>121673</v>
      </c>
      <c r="Q62" s="37">
        <v>0</v>
      </c>
      <c r="R62" s="37">
        <f>3485</f>
        <v>3485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f>200948+205591+541525</f>
        <v>948064</v>
      </c>
      <c r="Y62" s="37">
        <v>0</v>
      </c>
      <c r="Z62" s="37">
        <f>SUM(P62:Y62)</f>
        <v>1073222</v>
      </c>
      <c r="AA62" s="59"/>
      <c r="AB62" s="37">
        <f>45602+43491+38519+36297</f>
        <v>163909</v>
      </c>
      <c r="AC62" s="37">
        <v>0</v>
      </c>
      <c r="AD62" s="37">
        <f>3782+51734-18530</f>
        <v>36986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f>375651-170798+210015+212975+201374</f>
        <v>829217</v>
      </c>
      <c r="AK62" s="37">
        <v>0</v>
      </c>
      <c r="AL62" s="37">
        <f>SUM(AB62:AK62)</f>
        <v>1030112</v>
      </c>
      <c r="AM62" s="60"/>
      <c r="AN62" s="37">
        <f>52411+22849</f>
        <v>75260</v>
      </c>
      <c r="AO62" s="37">
        <v>0</v>
      </c>
      <c r="AP62" s="37">
        <f>7383-7500</f>
        <v>-117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f>225350+218334</f>
        <v>443684</v>
      </c>
      <c r="AX62" s="37">
        <v>0</v>
      </c>
      <c r="AY62" s="37">
        <f>SUM(AN62:AX62)</f>
        <v>518827</v>
      </c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</row>
    <row r="63" spans="1:171" ht="15" customHeight="1" x14ac:dyDescent="0.35">
      <c r="A63" s="14"/>
      <c r="B63" s="23" t="s">
        <v>45</v>
      </c>
      <c r="C63" s="25" t="s">
        <v>106</v>
      </c>
      <c r="D63" s="37">
        <f>8699+13191+717-969+4531</f>
        <v>26169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f t="shared" si="41"/>
        <v>26169</v>
      </c>
      <c r="O63" s="58"/>
      <c r="P63" s="37">
        <f>24721+5229+16351</f>
        <v>46301</v>
      </c>
      <c r="Q63" s="37">
        <v>0</v>
      </c>
      <c r="R63" s="37">
        <f>3672+12240</f>
        <v>15912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f>SUM(P63:Y63)</f>
        <v>62213</v>
      </c>
      <c r="AA63" s="59"/>
      <c r="AB63" s="37">
        <f>-433+3721+7184+22145</f>
        <v>32617</v>
      </c>
      <c r="AC63" s="37">
        <v>0</v>
      </c>
      <c r="AD63" s="37">
        <f>477+2448</f>
        <v>2925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f>SUM(AB63:AK63)</f>
        <v>35542</v>
      </c>
      <c r="AM63" s="60"/>
      <c r="AN63" s="37">
        <f>13488+15394</f>
        <v>28882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f>SUM(AN63:AX63)</f>
        <v>28882</v>
      </c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</row>
    <row r="64" spans="1:171" ht="15" customHeight="1" x14ac:dyDescent="0.35">
      <c r="A64" s="14" t="s">
        <v>107</v>
      </c>
      <c r="B64" s="23"/>
      <c r="C64" s="24" t="s">
        <v>108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8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59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60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</row>
    <row r="65" spans="1:171" ht="15" customHeight="1" x14ac:dyDescent="0.35">
      <c r="A65" s="14"/>
      <c r="B65" s="23" t="s">
        <v>43</v>
      </c>
      <c r="C65" s="25" t="s">
        <v>109</v>
      </c>
      <c r="D65" s="37">
        <f>36959+35176+33850-5275+50260</f>
        <v>150970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-6975</v>
      </c>
      <c r="K65" s="37">
        <v>0</v>
      </c>
      <c r="L65" s="37">
        <v>0</v>
      </c>
      <c r="M65" s="37">
        <v>0</v>
      </c>
      <c r="N65" s="37">
        <f t="shared" si="41"/>
        <v>143995</v>
      </c>
      <c r="O65" s="58"/>
      <c r="P65" s="37">
        <f>77332+213308+17273</f>
        <v>307913</v>
      </c>
      <c r="Q65" s="37">
        <v>0</v>
      </c>
      <c r="R65" s="37">
        <f>3264-816+10608</f>
        <v>13056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f>SUM(P65:Y65)</f>
        <v>320969</v>
      </c>
      <c r="AA65" s="59"/>
      <c r="AB65" s="37">
        <f>104251+92524+82393+71227</f>
        <v>350395</v>
      </c>
      <c r="AC65" s="37">
        <v>0</v>
      </c>
      <c r="AD65" s="37">
        <f>5712+10608+8160-10608</f>
        <v>13872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f>SUM(AB65:AK65)</f>
        <v>364267</v>
      </c>
      <c r="AM65" s="60"/>
      <c r="AN65" s="37">
        <f>41162+61835</f>
        <v>102997</v>
      </c>
      <c r="AO65" s="37">
        <v>0</v>
      </c>
      <c r="AP65" s="37">
        <f>9792+3282</f>
        <v>13074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f>SUM(AN65:AX65)</f>
        <v>116071</v>
      </c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</row>
    <row r="66" spans="1:171" ht="15" customHeight="1" x14ac:dyDescent="0.35">
      <c r="A66" s="14"/>
      <c r="B66" s="23" t="s">
        <v>45</v>
      </c>
      <c r="C66" s="25" t="s">
        <v>110</v>
      </c>
      <c r="D66" s="37">
        <f>12845+14599+4132-1439+4416</f>
        <v>34553</v>
      </c>
      <c r="E66" s="37">
        <v>0</v>
      </c>
      <c r="F66" s="37">
        <v>3723</v>
      </c>
      <c r="G66" s="37">
        <v>0</v>
      </c>
      <c r="H66" s="37">
        <v>0</v>
      </c>
      <c r="I66" s="37">
        <v>0</v>
      </c>
      <c r="J66" s="37">
        <f>6056+837+6975+24164</f>
        <v>38032</v>
      </c>
      <c r="K66" s="37">
        <v>0</v>
      </c>
      <c r="L66" s="37">
        <v>0</v>
      </c>
      <c r="M66" s="37">
        <v>0</v>
      </c>
      <c r="N66" s="37">
        <f t="shared" si="41"/>
        <v>76308</v>
      </c>
      <c r="O66" s="58"/>
      <c r="P66" s="37">
        <f>13945+16021+4694</f>
        <v>34660</v>
      </c>
      <c r="Q66" s="37">
        <v>0</v>
      </c>
      <c r="R66" s="37">
        <f>1116.9+7344</f>
        <v>8460.9</v>
      </c>
      <c r="S66" s="37">
        <v>0</v>
      </c>
      <c r="T66" s="37">
        <v>0</v>
      </c>
      <c r="U66" s="37">
        <v>0</v>
      </c>
      <c r="V66" s="37">
        <f>5067.51</f>
        <v>5067.51</v>
      </c>
      <c r="W66" s="37">
        <v>0</v>
      </c>
      <c r="X66" s="37">
        <v>0</v>
      </c>
      <c r="Y66" s="37">
        <v>0</v>
      </c>
      <c r="Z66" s="37">
        <f>SUM(P66:Y66)</f>
        <v>48188.41</v>
      </c>
      <c r="AA66" s="59"/>
      <c r="AB66" s="37">
        <f>8874+9627+15186+4968</f>
        <v>38655</v>
      </c>
      <c r="AC66" s="37">
        <v>0</v>
      </c>
      <c r="AD66" s="37">
        <f>3264+3684+3264</f>
        <v>10212</v>
      </c>
      <c r="AE66" s="37">
        <v>0</v>
      </c>
      <c r="AF66" s="37">
        <v>0</v>
      </c>
      <c r="AG66" s="37">
        <v>0</v>
      </c>
      <c r="AH66" s="37">
        <f>-3807+945-945</f>
        <v>-3807</v>
      </c>
      <c r="AI66" s="37">
        <v>0</v>
      </c>
      <c r="AJ66" s="37">
        <v>0</v>
      </c>
      <c r="AK66" s="37">
        <v>0</v>
      </c>
      <c r="AL66" s="37">
        <f>SUM(AB66:AK66)</f>
        <v>45060</v>
      </c>
      <c r="AM66" s="60"/>
      <c r="AN66" s="37">
        <f>16340+58959</f>
        <v>75299</v>
      </c>
      <c r="AO66" s="37">
        <v>0</v>
      </c>
      <c r="AP66" s="37">
        <f>4128</f>
        <v>4128</v>
      </c>
      <c r="AQ66" s="37">
        <v>0</v>
      </c>
      <c r="AR66" s="37">
        <v>0</v>
      </c>
      <c r="AS66" s="37">
        <v>0</v>
      </c>
      <c r="AT66" s="37">
        <v>0</v>
      </c>
      <c r="AU66" s="37">
        <f>17360</f>
        <v>17360</v>
      </c>
      <c r="AV66" s="37">
        <v>0</v>
      </c>
      <c r="AW66" s="37">
        <v>0</v>
      </c>
      <c r="AX66" s="37">
        <v>0</v>
      </c>
      <c r="AY66" s="37">
        <f>SUM(AN66:AX66)</f>
        <v>96787</v>
      </c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</row>
    <row r="67" spans="1:171" ht="15" customHeight="1" x14ac:dyDescent="0.35">
      <c r="A67" s="14" t="s">
        <v>111</v>
      </c>
      <c r="B67" s="23"/>
      <c r="C67" s="24" t="s">
        <v>112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8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59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60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</row>
    <row r="68" spans="1:171" ht="15" customHeight="1" x14ac:dyDescent="0.35">
      <c r="A68" s="14"/>
      <c r="B68" s="23" t="s">
        <v>43</v>
      </c>
      <c r="C68" s="25" t="s">
        <v>113</v>
      </c>
      <c r="D68" s="37">
        <v>20473</v>
      </c>
      <c r="E68" s="37">
        <v>0</v>
      </c>
      <c r="F68" s="37">
        <v>0</v>
      </c>
      <c r="G68" s="37">
        <v>0</v>
      </c>
      <c r="H68" s="37">
        <f>5718</f>
        <v>5718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f t="shared" si="41"/>
        <v>26191</v>
      </c>
      <c r="O68" s="58"/>
      <c r="P68" s="37">
        <v>0</v>
      </c>
      <c r="Q68" s="37">
        <v>0</v>
      </c>
      <c r="R68" s="37">
        <f>2448-4896</f>
        <v>-2448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f>SUM(P68:Y68)</f>
        <v>-2448</v>
      </c>
      <c r="AA68" s="59"/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37">
        <f>SUM(AB68:AK68)</f>
        <v>0</v>
      </c>
      <c r="AM68" s="60"/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f>SUM(AN68:AX68)</f>
        <v>0</v>
      </c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</row>
    <row r="69" spans="1:171" ht="15" customHeight="1" x14ac:dyDescent="0.35">
      <c r="A69" s="14"/>
      <c r="B69" s="23" t="s">
        <v>45</v>
      </c>
      <c r="C69" s="25" t="s">
        <v>114</v>
      </c>
      <c r="D69" s="37">
        <v>2685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f t="shared" si="41"/>
        <v>2685</v>
      </c>
      <c r="O69" s="58"/>
      <c r="P69" s="37">
        <v>0</v>
      </c>
      <c r="Q69" s="37">
        <v>0</v>
      </c>
      <c r="R69" s="37">
        <f>2812</f>
        <v>2812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f>SUM(P69:Y69)</f>
        <v>2812</v>
      </c>
      <c r="AA69" s="59"/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f>SUM(AB69:AK69)</f>
        <v>0</v>
      </c>
      <c r="AM69" s="60"/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f>SUM(AN69:AX69)</f>
        <v>0</v>
      </c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</row>
    <row r="70" spans="1:171" ht="15" customHeight="1" x14ac:dyDescent="0.35">
      <c r="A70" s="14" t="s">
        <v>115</v>
      </c>
      <c r="B70" s="23"/>
      <c r="C70" s="24" t="s">
        <v>116</v>
      </c>
      <c r="D70" s="37">
        <f>13004+7149+10653-1282-8+11429</f>
        <v>40945</v>
      </c>
      <c r="E70" s="37">
        <v>0</v>
      </c>
      <c r="F70" s="37">
        <v>922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f>39502+33687+32119+76264</f>
        <v>181572</v>
      </c>
      <c r="M70" s="37">
        <v>0</v>
      </c>
      <c r="N70" s="37">
        <f t="shared" si="41"/>
        <v>223439</v>
      </c>
      <c r="O70" s="58"/>
      <c r="P70" s="37">
        <f>4976+13938+15381</f>
        <v>34295</v>
      </c>
      <c r="Q70" s="37">
        <v>0</v>
      </c>
      <c r="R70" s="37">
        <f>107.08-228.64+4240</f>
        <v>4118.4399999999996</v>
      </c>
      <c r="S70" s="37">
        <v>0</v>
      </c>
      <c r="T70" s="37">
        <f>1349.58+1861.46</f>
        <v>3211.04</v>
      </c>
      <c r="U70" s="37">
        <v>0</v>
      </c>
      <c r="V70" s="37">
        <v>0</v>
      </c>
      <c r="W70" s="37">
        <v>0</v>
      </c>
      <c r="X70" s="37">
        <f>39959+40704+100254</f>
        <v>180917</v>
      </c>
      <c r="Y70" s="37">
        <v>0</v>
      </c>
      <c r="Z70" s="37">
        <f>SUM(P70:Y70)</f>
        <v>222541.48</v>
      </c>
      <c r="AA70" s="59"/>
      <c r="AB70" s="37">
        <f>16738+8894+16122+5333</f>
        <v>47087</v>
      </c>
      <c r="AC70" s="37">
        <v>0</v>
      </c>
      <c r="AD70" s="37">
        <f>1582+1172+1270+2340</f>
        <v>6364</v>
      </c>
      <c r="AE70" s="37">
        <v>0</v>
      </c>
      <c r="AF70" s="37">
        <f>297+401+682</f>
        <v>1380</v>
      </c>
      <c r="AG70" s="37">
        <v>0</v>
      </c>
      <c r="AH70" s="37">
        <f>-93-52</f>
        <v>-145</v>
      </c>
      <c r="AI70" s="37">
        <v>0</v>
      </c>
      <c r="AJ70" s="37">
        <f>48998-14176+42633+44764+50243</f>
        <v>172462</v>
      </c>
      <c r="AK70" s="37">
        <v>0</v>
      </c>
      <c r="AL70" s="37">
        <f>SUM(AB70:AK70)</f>
        <v>227148</v>
      </c>
      <c r="AM70" s="60"/>
      <c r="AN70" s="37">
        <f>15246+19927</f>
        <v>35173</v>
      </c>
      <c r="AO70" s="37">
        <v>0</v>
      </c>
      <c r="AP70" s="37">
        <f>1556+325</f>
        <v>1881</v>
      </c>
      <c r="AQ70" s="37">
        <v>0</v>
      </c>
      <c r="AR70" s="37">
        <f>-12</f>
        <v>-12</v>
      </c>
      <c r="AS70" s="37">
        <v>0</v>
      </c>
      <c r="AT70" s="37">
        <v>0</v>
      </c>
      <c r="AU70" s="37">
        <f>31</f>
        <v>31</v>
      </c>
      <c r="AV70" s="37">
        <v>0</v>
      </c>
      <c r="AW70" s="37">
        <f>34041+35497</f>
        <v>69538</v>
      </c>
      <c r="AX70" s="37">
        <v>0</v>
      </c>
      <c r="AY70" s="37">
        <f>SUM(AN70:AX70)</f>
        <v>106611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</row>
    <row r="71" spans="1:171" ht="15" customHeight="1" x14ac:dyDescent="0.35">
      <c r="A71" s="20">
        <v>60699</v>
      </c>
      <c r="B71" s="23"/>
      <c r="C71" s="26" t="s">
        <v>117</v>
      </c>
      <c r="D71" s="39">
        <f t="shared" ref="D71:M71" si="42">SUM(D62+D63+D65+D66+D68+D69+D70)</f>
        <v>369384</v>
      </c>
      <c r="E71" s="39">
        <f t="shared" si="42"/>
        <v>0</v>
      </c>
      <c r="F71" s="39">
        <f t="shared" si="42"/>
        <v>14553</v>
      </c>
      <c r="G71" s="39">
        <f t="shared" si="42"/>
        <v>0</v>
      </c>
      <c r="H71" s="39">
        <f t="shared" si="42"/>
        <v>5718</v>
      </c>
      <c r="I71" s="39">
        <f t="shared" si="42"/>
        <v>0</v>
      </c>
      <c r="J71" s="39">
        <f t="shared" si="42"/>
        <v>31057</v>
      </c>
      <c r="K71" s="39">
        <f t="shared" si="42"/>
        <v>0</v>
      </c>
      <c r="L71" s="39">
        <f t="shared" si="42"/>
        <v>1127602</v>
      </c>
      <c r="M71" s="39">
        <f t="shared" si="42"/>
        <v>0</v>
      </c>
      <c r="N71" s="39">
        <f t="shared" ref="N71" si="43">SUM(N61:N70)</f>
        <v>1548314</v>
      </c>
      <c r="O71" s="58"/>
      <c r="P71" s="39">
        <f t="shared" ref="P71:Y71" si="44">SUM(P62+P63+P65+P66+P68+P69+P70)</f>
        <v>544842</v>
      </c>
      <c r="Q71" s="39">
        <f t="shared" si="44"/>
        <v>0</v>
      </c>
      <c r="R71" s="39">
        <f t="shared" si="44"/>
        <v>45396.340000000004</v>
      </c>
      <c r="S71" s="39">
        <f t="shared" si="44"/>
        <v>0</v>
      </c>
      <c r="T71" s="39">
        <f t="shared" si="44"/>
        <v>3211.04</v>
      </c>
      <c r="U71" s="39">
        <f t="shared" si="44"/>
        <v>0</v>
      </c>
      <c r="V71" s="39">
        <f t="shared" si="44"/>
        <v>5067.51</v>
      </c>
      <c r="W71" s="39">
        <f t="shared" si="44"/>
        <v>0</v>
      </c>
      <c r="X71" s="39">
        <f t="shared" si="44"/>
        <v>1128981</v>
      </c>
      <c r="Y71" s="39">
        <f t="shared" si="44"/>
        <v>0</v>
      </c>
      <c r="Z71" s="39">
        <f t="shared" ref="Z71" si="45">SUM(Z61:Z70)</f>
        <v>1727497.89</v>
      </c>
      <c r="AA71" s="59"/>
      <c r="AB71" s="39">
        <f t="shared" ref="AB71:AK71" si="46">SUM(AB62+AB63+AB65+AB66+AB68+AB69+AB70)</f>
        <v>632663</v>
      </c>
      <c r="AC71" s="39">
        <f t="shared" si="46"/>
        <v>0</v>
      </c>
      <c r="AD71" s="39">
        <f t="shared" si="46"/>
        <v>70359</v>
      </c>
      <c r="AE71" s="39">
        <f t="shared" si="46"/>
        <v>0</v>
      </c>
      <c r="AF71" s="39">
        <f t="shared" si="46"/>
        <v>1380</v>
      </c>
      <c r="AG71" s="39">
        <f t="shared" si="46"/>
        <v>0</v>
      </c>
      <c r="AH71" s="39">
        <f t="shared" si="46"/>
        <v>-3952</v>
      </c>
      <c r="AI71" s="39">
        <f t="shared" si="46"/>
        <v>0</v>
      </c>
      <c r="AJ71" s="39">
        <f t="shared" si="46"/>
        <v>1001679</v>
      </c>
      <c r="AK71" s="39">
        <f t="shared" si="46"/>
        <v>0</v>
      </c>
      <c r="AL71" s="39">
        <f>SUM(AL61:AL70)</f>
        <v>1702129</v>
      </c>
      <c r="AM71" s="60"/>
      <c r="AN71" s="39">
        <f t="shared" ref="AN71:AX71" si="47">SUM(AN62+AN63+AN65+AN66+AN68+AN69+AN70)</f>
        <v>317611</v>
      </c>
      <c r="AO71" s="39">
        <f t="shared" si="47"/>
        <v>0</v>
      </c>
      <c r="AP71" s="39">
        <f t="shared" si="47"/>
        <v>18966</v>
      </c>
      <c r="AQ71" s="39">
        <f t="shared" si="47"/>
        <v>0</v>
      </c>
      <c r="AR71" s="39">
        <f t="shared" si="47"/>
        <v>-12</v>
      </c>
      <c r="AS71" s="39">
        <f t="shared" si="47"/>
        <v>0</v>
      </c>
      <c r="AT71" s="39">
        <f>SUM(AT62+AT63+AT65+AT66+AT68+AT69+AT70)</f>
        <v>0</v>
      </c>
      <c r="AU71" s="39">
        <f t="shared" si="47"/>
        <v>17391</v>
      </c>
      <c r="AV71" s="39">
        <f t="shared" si="47"/>
        <v>0</v>
      </c>
      <c r="AW71" s="39">
        <f t="shared" si="47"/>
        <v>513222</v>
      </c>
      <c r="AX71" s="39">
        <f t="shared" si="47"/>
        <v>0</v>
      </c>
      <c r="AY71" s="39">
        <f>SUM(AY61:AY70)</f>
        <v>867178</v>
      </c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</row>
    <row r="72" spans="1:171" ht="15" customHeight="1" x14ac:dyDescent="0.35">
      <c r="A72" s="14"/>
      <c r="B72" s="23"/>
      <c r="C72" s="26" t="s">
        <v>118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58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59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60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</row>
    <row r="73" spans="1:171" ht="15" customHeight="1" x14ac:dyDescent="0.35">
      <c r="A73" s="14" t="s">
        <v>119</v>
      </c>
      <c r="B73" s="23"/>
      <c r="C73" s="25" t="s">
        <v>120</v>
      </c>
      <c r="D73" s="37">
        <v>112</v>
      </c>
      <c r="E73" s="37">
        <v>0</v>
      </c>
      <c r="F73" s="37">
        <v>187</v>
      </c>
      <c r="G73" s="37">
        <v>0</v>
      </c>
      <c r="H73" s="37">
        <v>0</v>
      </c>
      <c r="I73" s="37">
        <v>0</v>
      </c>
      <c r="J73" s="37">
        <f>266157+276865+221552+228929</f>
        <v>993503</v>
      </c>
      <c r="K73" s="37">
        <v>0</v>
      </c>
      <c r="L73" s="37">
        <v>0</v>
      </c>
      <c r="M73" s="37">
        <v>0</v>
      </c>
      <c r="N73" s="37">
        <f>SUM(D73:M73)</f>
        <v>993802</v>
      </c>
      <c r="O73" s="58"/>
      <c r="P73" s="37">
        <v>0</v>
      </c>
      <c r="Q73" s="37">
        <f>101493+16654</f>
        <v>118147</v>
      </c>
      <c r="R73" s="37">
        <f>747+4781</f>
        <v>5528</v>
      </c>
      <c r="S73" s="37">
        <v>0</v>
      </c>
      <c r="T73" s="37">
        <v>0</v>
      </c>
      <c r="U73" s="37">
        <f>12624.94+2789.72</f>
        <v>15414.66</v>
      </c>
      <c r="V73" s="37">
        <f>287897.65-85034.82+196359.95</f>
        <v>399222.78</v>
      </c>
      <c r="W73" s="37">
        <v>0</v>
      </c>
      <c r="X73" s="37">
        <v>0</v>
      </c>
      <c r="Y73" s="37">
        <v>0</v>
      </c>
      <c r="Z73" s="37">
        <f>SUM(P73:Y73)</f>
        <v>538312.44000000006</v>
      </c>
      <c r="AA73" s="59"/>
      <c r="AB73" s="37">
        <f>5625-5625</f>
        <v>0</v>
      </c>
      <c r="AC73" s="37">
        <f>3831+13713+9265+12021</f>
        <v>38830</v>
      </c>
      <c r="AD73" s="37">
        <f>1756-7283+16127+17545</f>
        <v>28145</v>
      </c>
      <c r="AE73" s="37">
        <v>0</v>
      </c>
      <c r="AF73" s="37">
        <f>3249+1408-204</f>
        <v>4453</v>
      </c>
      <c r="AG73" s="37">
        <f>2844+1583+1182+1968</f>
        <v>7577</v>
      </c>
      <c r="AH73" s="37">
        <f>10252+146754+116925+183122</f>
        <v>457053</v>
      </c>
      <c r="AI73" s="37">
        <v>0</v>
      </c>
      <c r="AJ73" s="37">
        <v>0</v>
      </c>
      <c r="AK73" s="37">
        <v>0</v>
      </c>
      <c r="AL73" s="37">
        <f>SUM(AB73:AK73)</f>
        <v>536058</v>
      </c>
      <c r="AM73" s="60"/>
      <c r="AN73" s="37">
        <v>0</v>
      </c>
      <c r="AO73" s="37">
        <f>7898+17739</f>
        <v>25637</v>
      </c>
      <c r="AP73" s="37">
        <f>828</f>
        <v>828</v>
      </c>
      <c r="AQ73" s="37">
        <v>0</v>
      </c>
      <c r="AR73" s="37">
        <f>-13</f>
        <v>-13</v>
      </c>
      <c r="AS73" s="37">
        <f>1841+3657</f>
        <v>5498</v>
      </c>
      <c r="AT73" s="37">
        <v>0</v>
      </c>
      <c r="AU73" s="37">
        <f>23539+126403</f>
        <v>149942</v>
      </c>
      <c r="AV73" s="37">
        <v>0</v>
      </c>
      <c r="AW73" s="37">
        <v>0</v>
      </c>
      <c r="AX73" s="37">
        <v>0</v>
      </c>
      <c r="AY73" s="37">
        <f>SUM(AN73:AX73)</f>
        <v>181892</v>
      </c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</row>
    <row r="74" spans="1:171" ht="15" customHeight="1" x14ac:dyDescent="0.35">
      <c r="A74" s="14" t="s">
        <v>121</v>
      </c>
      <c r="B74" s="23"/>
      <c r="C74" s="25" t="s">
        <v>90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58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59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60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</row>
    <row r="75" spans="1:171" ht="15" customHeight="1" x14ac:dyDescent="0.35">
      <c r="A75" s="14" t="s">
        <v>122</v>
      </c>
      <c r="B75" s="23"/>
      <c r="C75" s="24" t="s">
        <v>123</v>
      </c>
      <c r="D75" s="37">
        <v>0</v>
      </c>
      <c r="E75" s="37">
        <v>0</v>
      </c>
      <c r="F75" s="37">
        <v>0</v>
      </c>
      <c r="G75" s="37">
        <v>0</v>
      </c>
      <c r="H75" s="37">
        <f>37321+35531+32125+50134</f>
        <v>155111</v>
      </c>
      <c r="I75" s="37">
        <v>0</v>
      </c>
      <c r="J75" s="37">
        <f>25556+16182+35619+54129</f>
        <v>131486</v>
      </c>
      <c r="K75" s="37">
        <v>0</v>
      </c>
      <c r="L75" s="37">
        <v>0</v>
      </c>
      <c r="M75" s="37">
        <v>0</v>
      </c>
      <c r="N75" s="37">
        <f>SUM(D75:M75)</f>
        <v>286597</v>
      </c>
      <c r="O75" s="58"/>
      <c r="P75" s="37">
        <v>0</v>
      </c>
      <c r="Q75" s="37">
        <v>0</v>
      </c>
      <c r="R75" s="37">
        <v>0</v>
      </c>
      <c r="S75" s="37">
        <v>0</v>
      </c>
      <c r="T75" s="37">
        <f>49917.8+18619.52-25871.32</f>
        <v>42666.000000000007</v>
      </c>
      <c r="U75" s="37">
        <v>0</v>
      </c>
      <c r="V75" s="37">
        <f>18050.23+26325.89-2033.23</f>
        <v>42342.889999999992</v>
      </c>
      <c r="W75" s="37">
        <v>0</v>
      </c>
      <c r="X75" s="37">
        <v>0</v>
      </c>
      <c r="Y75" s="37">
        <v>0</v>
      </c>
      <c r="Z75" s="37">
        <f>SUM(P75:Y75)</f>
        <v>85008.89</v>
      </c>
      <c r="AA75" s="59"/>
      <c r="AB75" s="37">
        <f>381+675</f>
        <v>1056</v>
      </c>
      <c r="AC75" s="37">
        <v>0</v>
      </c>
      <c r="AD75" s="37">
        <v>0</v>
      </c>
      <c r="AE75" s="37">
        <v>0</v>
      </c>
      <c r="AF75" s="37">
        <f>35511+40231-8997+58029</f>
        <v>124774</v>
      </c>
      <c r="AG75" s="37">
        <v>0</v>
      </c>
      <c r="AH75" s="37">
        <f>3940+8316+7919+2608</f>
        <v>22783</v>
      </c>
      <c r="AI75" s="37">
        <v>0</v>
      </c>
      <c r="AJ75" s="37">
        <v>0</v>
      </c>
      <c r="AK75" s="37">
        <v>0</v>
      </c>
      <c r="AL75" s="37">
        <f>SUM(AB75:AK75)</f>
        <v>148613</v>
      </c>
      <c r="AM75" s="60"/>
      <c r="AN75" s="37">
        <f>-158</f>
        <v>-158</v>
      </c>
      <c r="AO75" s="37">
        <v>0</v>
      </c>
      <c r="AP75" s="37">
        <v>0</v>
      </c>
      <c r="AQ75" s="37">
        <v>0</v>
      </c>
      <c r="AR75" s="37">
        <f>16077+20301</f>
        <v>36378</v>
      </c>
      <c r="AS75" s="37">
        <v>0</v>
      </c>
      <c r="AT75" s="37">
        <v>0</v>
      </c>
      <c r="AU75" s="37">
        <f>-2110+906</f>
        <v>-1204</v>
      </c>
      <c r="AV75" s="37">
        <v>0</v>
      </c>
      <c r="AW75" s="37">
        <v>0</v>
      </c>
      <c r="AX75" s="37">
        <v>0</v>
      </c>
      <c r="AY75" s="37">
        <f>SUM(AN75:AX75)</f>
        <v>35016</v>
      </c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</row>
    <row r="76" spans="1:171" ht="15" customHeight="1" x14ac:dyDescent="0.35">
      <c r="A76" s="20">
        <v>60799</v>
      </c>
      <c r="B76" s="23"/>
      <c r="C76" s="26" t="s">
        <v>124</v>
      </c>
      <c r="D76" s="39">
        <f t="shared" ref="D76:M76" si="48">SUM(D73:D75)</f>
        <v>112</v>
      </c>
      <c r="E76" s="39">
        <f t="shared" si="48"/>
        <v>0</v>
      </c>
      <c r="F76" s="39">
        <f t="shared" si="48"/>
        <v>187</v>
      </c>
      <c r="G76" s="39">
        <f t="shared" si="48"/>
        <v>0</v>
      </c>
      <c r="H76" s="39">
        <f t="shared" si="48"/>
        <v>155111</v>
      </c>
      <c r="I76" s="39">
        <f t="shared" si="48"/>
        <v>0</v>
      </c>
      <c r="J76" s="39">
        <f t="shared" si="48"/>
        <v>1124989</v>
      </c>
      <c r="K76" s="39">
        <f t="shared" si="48"/>
        <v>0</v>
      </c>
      <c r="L76" s="39">
        <f t="shared" si="48"/>
        <v>0</v>
      </c>
      <c r="M76" s="39">
        <f t="shared" si="48"/>
        <v>0</v>
      </c>
      <c r="N76" s="39">
        <f t="shared" ref="N76" si="49">SUM(N73:N75)</f>
        <v>1280399</v>
      </c>
      <c r="O76" s="58"/>
      <c r="P76" s="39">
        <f t="shared" ref="P76:Y76" si="50">SUM(P73:P75)</f>
        <v>0</v>
      </c>
      <c r="Q76" s="39">
        <f t="shared" si="50"/>
        <v>118147</v>
      </c>
      <c r="R76" s="39">
        <f t="shared" si="50"/>
        <v>5528</v>
      </c>
      <c r="S76" s="39">
        <f t="shared" si="50"/>
        <v>0</v>
      </c>
      <c r="T76" s="39">
        <f t="shared" si="50"/>
        <v>42666.000000000007</v>
      </c>
      <c r="U76" s="39">
        <f t="shared" si="50"/>
        <v>15414.66</v>
      </c>
      <c r="V76" s="39">
        <f t="shared" si="50"/>
        <v>441565.67000000004</v>
      </c>
      <c r="W76" s="39">
        <f t="shared" si="50"/>
        <v>0</v>
      </c>
      <c r="X76" s="39">
        <f t="shared" si="50"/>
        <v>0</v>
      </c>
      <c r="Y76" s="39">
        <f t="shared" si="50"/>
        <v>0</v>
      </c>
      <c r="Z76" s="39">
        <f t="shared" ref="Z76" si="51">SUM(Z73:Z75)</f>
        <v>623321.33000000007</v>
      </c>
      <c r="AA76" s="59"/>
      <c r="AB76" s="39">
        <f t="shared" ref="AB76:AK76" si="52">SUM(AB73:AB75)</f>
        <v>1056</v>
      </c>
      <c r="AC76" s="39">
        <f t="shared" si="52"/>
        <v>38830</v>
      </c>
      <c r="AD76" s="39">
        <f t="shared" si="52"/>
        <v>28145</v>
      </c>
      <c r="AE76" s="39">
        <f t="shared" si="52"/>
        <v>0</v>
      </c>
      <c r="AF76" s="39">
        <f t="shared" si="52"/>
        <v>129227</v>
      </c>
      <c r="AG76" s="39">
        <f t="shared" si="52"/>
        <v>7577</v>
      </c>
      <c r="AH76" s="39">
        <f t="shared" si="52"/>
        <v>479836</v>
      </c>
      <c r="AI76" s="39">
        <f t="shared" si="52"/>
        <v>0</v>
      </c>
      <c r="AJ76" s="39">
        <f t="shared" si="52"/>
        <v>0</v>
      </c>
      <c r="AK76" s="39">
        <f t="shared" si="52"/>
        <v>0</v>
      </c>
      <c r="AL76" s="39">
        <f>SUM(AL73:AL75)</f>
        <v>684671</v>
      </c>
      <c r="AM76" s="60"/>
      <c r="AN76" s="39">
        <f t="shared" ref="AN76:AX76" si="53">SUM(AN73:AN75)</f>
        <v>-158</v>
      </c>
      <c r="AO76" s="39">
        <f t="shared" si="53"/>
        <v>25637</v>
      </c>
      <c r="AP76" s="39">
        <f t="shared" si="53"/>
        <v>828</v>
      </c>
      <c r="AQ76" s="39">
        <f t="shared" si="53"/>
        <v>0</v>
      </c>
      <c r="AR76" s="39">
        <f t="shared" si="53"/>
        <v>36365</v>
      </c>
      <c r="AS76" s="39">
        <f t="shared" si="53"/>
        <v>5498</v>
      </c>
      <c r="AT76" s="39">
        <f>SUM(AT73:AT75)</f>
        <v>0</v>
      </c>
      <c r="AU76" s="39">
        <f t="shared" si="53"/>
        <v>148738</v>
      </c>
      <c r="AV76" s="39">
        <f t="shared" si="53"/>
        <v>0</v>
      </c>
      <c r="AW76" s="39">
        <f t="shared" si="53"/>
        <v>0</v>
      </c>
      <c r="AX76" s="39">
        <f t="shared" si="53"/>
        <v>0</v>
      </c>
      <c r="AY76" s="39">
        <f>SUM(AY73:AY75)</f>
        <v>216908</v>
      </c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</row>
    <row r="77" spans="1:171" ht="15" customHeight="1" x14ac:dyDescent="0.35">
      <c r="A77" s="14"/>
      <c r="B77" s="23"/>
      <c r="C77" s="26" t="s">
        <v>125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58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59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60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</row>
    <row r="78" spans="1:171" ht="15" customHeight="1" x14ac:dyDescent="0.35">
      <c r="A78" s="14" t="s">
        <v>126</v>
      </c>
      <c r="B78" s="23"/>
      <c r="C78" s="24" t="s">
        <v>127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f>SUM(D78:M78)</f>
        <v>0</v>
      </c>
      <c r="O78" s="58"/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f>SUM(P78:Y78)</f>
        <v>0</v>
      </c>
      <c r="AA78" s="59"/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f>SUM(AB78:AK78)</f>
        <v>0</v>
      </c>
      <c r="AM78" s="60"/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f>SUM(AN78:AX78)</f>
        <v>0</v>
      </c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</row>
    <row r="79" spans="1:171" ht="15" customHeight="1" x14ac:dyDescent="0.35">
      <c r="A79" s="14" t="s">
        <v>128</v>
      </c>
      <c r="B79" s="23"/>
      <c r="C79" s="24" t="s">
        <v>129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f>SUM(D79:M79)</f>
        <v>0</v>
      </c>
      <c r="O79" s="58"/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f>104.59</f>
        <v>104.59</v>
      </c>
      <c r="W79" s="37">
        <v>0</v>
      </c>
      <c r="X79" s="37">
        <v>0</v>
      </c>
      <c r="Y79" s="37">
        <v>0</v>
      </c>
      <c r="Z79" s="37">
        <f>SUM(P79:Y79)</f>
        <v>104.59</v>
      </c>
      <c r="AA79" s="59"/>
      <c r="AB79" s="37">
        <v>0</v>
      </c>
      <c r="AC79" s="37">
        <v>0</v>
      </c>
      <c r="AD79" s="37">
        <f>1834-1834</f>
        <v>0</v>
      </c>
      <c r="AE79" s="37">
        <v>0</v>
      </c>
      <c r="AF79" s="37">
        <v>0</v>
      </c>
      <c r="AG79" s="37">
        <v>0</v>
      </c>
      <c r="AH79" s="37">
        <f>-27</f>
        <v>-27</v>
      </c>
      <c r="AI79" s="37">
        <v>0</v>
      </c>
      <c r="AJ79" s="37">
        <v>0</v>
      </c>
      <c r="AK79" s="37">
        <v>0</v>
      </c>
      <c r="AL79" s="37">
        <f>SUM(AB79:AK79)</f>
        <v>-27</v>
      </c>
      <c r="AM79" s="60"/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37">
        <v>0</v>
      </c>
      <c r="AT79" s="37">
        <v>0</v>
      </c>
      <c r="AU79" s="37">
        <v>0</v>
      </c>
      <c r="AV79" s="37">
        <v>0</v>
      </c>
      <c r="AW79" s="37">
        <v>0</v>
      </c>
      <c r="AX79" s="37">
        <v>0</v>
      </c>
      <c r="AY79" s="37">
        <f>SUM(AN79:AX79)</f>
        <v>0</v>
      </c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</row>
    <row r="80" spans="1:171" ht="15" customHeight="1" x14ac:dyDescent="0.35">
      <c r="A80" s="14" t="s">
        <v>130</v>
      </c>
      <c r="B80" s="23"/>
      <c r="C80" s="24" t="s">
        <v>131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f>SUM(D80:M80)</f>
        <v>0</v>
      </c>
      <c r="O80" s="58"/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  <c r="Z80" s="37">
        <f>SUM(P80:Y80)</f>
        <v>0</v>
      </c>
      <c r="AA80" s="59"/>
      <c r="AB80" s="37">
        <v>0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  <c r="AJ80" s="37">
        <v>0</v>
      </c>
      <c r="AK80" s="37">
        <v>0</v>
      </c>
      <c r="AL80" s="37">
        <f>SUM(AB80:AK80)</f>
        <v>0</v>
      </c>
      <c r="AM80" s="60"/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f>SUM(AN80:AX80)</f>
        <v>0</v>
      </c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</row>
    <row r="81" spans="1:171" ht="15" customHeight="1" x14ac:dyDescent="0.35">
      <c r="A81" s="20">
        <v>60899</v>
      </c>
      <c r="B81" s="23"/>
      <c r="C81" s="27" t="s">
        <v>132</v>
      </c>
      <c r="D81" s="39">
        <f t="shared" ref="D81:M81" si="54">SUM(D78:D80)</f>
        <v>0</v>
      </c>
      <c r="E81" s="39">
        <f t="shared" si="54"/>
        <v>0</v>
      </c>
      <c r="F81" s="39">
        <f t="shared" si="54"/>
        <v>0</v>
      </c>
      <c r="G81" s="39">
        <f t="shared" si="54"/>
        <v>0</v>
      </c>
      <c r="H81" s="39">
        <f t="shared" si="54"/>
        <v>0</v>
      </c>
      <c r="I81" s="39">
        <f t="shared" si="54"/>
        <v>0</v>
      </c>
      <c r="J81" s="39">
        <f t="shared" si="54"/>
        <v>0</v>
      </c>
      <c r="K81" s="39">
        <f t="shared" si="54"/>
        <v>0</v>
      </c>
      <c r="L81" s="39">
        <f t="shared" si="54"/>
        <v>0</v>
      </c>
      <c r="M81" s="39">
        <f t="shared" si="54"/>
        <v>0</v>
      </c>
      <c r="N81" s="39">
        <f t="shared" ref="N81" si="55">SUM(N78:N80)</f>
        <v>0</v>
      </c>
      <c r="O81" s="58"/>
      <c r="P81" s="39">
        <f t="shared" ref="P81:Y81" si="56">SUM(P78:P80)</f>
        <v>0</v>
      </c>
      <c r="Q81" s="39">
        <f t="shared" si="56"/>
        <v>0</v>
      </c>
      <c r="R81" s="39">
        <f t="shared" si="56"/>
        <v>0</v>
      </c>
      <c r="S81" s="39">
        <f t="shared" si="56"/>
        <v>0</v>
      </c>
      <c r="T81" s="39">
        <f t="shared" si="56"/>
        <v>0</v>
      </c>
      <c r="U81" s="39">
        <f t="shared" si="56"/>
        <v>0</v>
      </c>
      <c r="V81" s="39">
        <f t="shared" si="56"/>
        <v>104.59</v>
      </c>
      <c r="W81" s="39">
        <f t="shared" si="56"/>
        <v>0</v>
      </c>
      <c r="X81" s="39">
        <f t="shared" si="56"/>
        <v>0</v>
      </c>
      <c r="Y81" s="39">
        <f t="shared" si="56"/>
        <v>0</v>
      </c>
      <c r="Z81" s="39">
        <f t="shared" ref="Z81" si="57">SUM(Z78:Z80)</f>
        <v>104.59</v>
      </c>
      <c r="AA81" s="59"/>
      <c r="AB81" s="39">
        <f t="shared" ref="AB81:AK81" si="58">SUM(AB78:AB80)</f>
        <v>0</v>
      </c>
      <c r="AC81" s="39">
        <f t="shared" si="58"/>
        <v>0</v>
      </c>
      <c r="AD81" s="39">
        <f t="shared" si="58"/>
        <v>0</v>
      </c>
      <c r="AE81" s="39">
        <f t="shared" si="58"/>
        <v>0</v>
      </c>
      <c r="AF81" s="39">
        <f t="shared" si="58"/>
        <v>0</v>
      </c>
      <c r="AG81" s="39">
        <f t="shared" si="58"/>
        <v>0</v>
      </c>
      <c r="AH81" s="39">
        <f t="shared" si="58"/>
        <v>-27</v>
      </c>
      <c r="AI81" s="39">
        <f t="shared" si="58"/>
        <v>0</v>
      </c>
      <c r="AJ81" s="39">
        <f t="shared" si="58"/>
        <v>0</v>
      </c>
      <c r="AK81" s="39">
        <f t="shared" si="58"/>
        <v>0</v>
      </c>
      <c r="AL81" s="39">
        <f>SUM(AL78:AL80)</f>
        <v>-27</v>
      </c>
      <c r="AM81" s="60"/>
      <c r="AN81" s="39">
        <f t="shared" ref="AN81:AX81" si="59">SUM(AN78:AN80)</f>
        <v>0</v>
      </c>
      <c r="AO81" s="39">
        <f t="shared" si="59"/>
        <v>0</v>
      </c>
      <c r="AP81" s="39">
        <f t="shared" si="59"/>
        <v>0</v>
      </c>
      <c r="AQ81" s="39">
        <f t="shared" si="59"/>
        <v>0</v>
      </c>
      <c r="AR81" s="39">
        <f t="shared" si="59"/>
        <v>0</v>
      </c>
      <c r="AS81" s="39">
        <f t="shared" si="59"/>
        <v>0</v>
      </c>
      <c r="AT81" s="39">
        <f>SUM(AT78:AT80)</f>
        <v>0</v>
      </c>
      <c r="AU81" s="39">
        <f t="shared" si="59"/>
        <v>0</v>
      </c>
      <c r="AV81" s="39">
        <f t="shared" si="59"/>
        <v>0</v>
      </c>
      <c r="AW81" s="39">
        <f t="shared" si="59"/>
        <v>0</v>
      </c>
      <c r="AX81" s="39">
        <f t="shared" si="59"/>
        <v>0</v>
      </c>
      <c r="AY81" s="39">
        <f>SUM(AY78:AY80)</f>
        <v>0</v>
      </c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</row>
    <row r="82" spans="1:171" ht="15" customHeight="1" x14ac:dyDescent="0.35">
      <c r="A82" s="14"/>
      <c r="B82" s="23"/>
      <c r="C82" s="26" t="s">
        <v>133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58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59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60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</row>
    <row r="83" spans="1:171" ht="15" customHeight="1" x14ac:dyDescent="0.35">
      <c r="A83" s="14" t="s">
        <v>134</v>
      </c>
      <c r="B83" s="23"/>
      <c r="C83" s="24" t="s">
        <v>135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f>118173+118172+118173+118173</f>
        <v>472691</v>
      </c>
      <c r="K83" s="37">
        <v>0</v>
      </c>
      <c r="L83" s="37">
        <v>0</v>
      </c>
      <c r="M83" s="37">
        <v>0</v>
      </c>
      <c r="N83" s="37">
        <f>SUM(D83:M83)</f>
        <v>472691</v>
      </c>
      <c r="O83" s="58"/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f>137435.06+137434.69+137434.87</f>
        <v>412304.62</v>
      </c>
      <c r="W83" s="37">
        <v>0</v>
      </c>
      <c r="X83" s="37">
        <v>0</v>
      </c>
      <c r="Y83" s="37">
        <v>0</v>
      </c>
      <c r="Z83" s="37">
        <f>SUM(P83:Y83)</f>
        <v>412304.62</v>
      </c>
      <c r="AA83" s="59"/>
      <c r="AB83" s="37">
        <v>0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f>101730+101730+101730+101729</f>
        <v>406919</v>
      </c>
      <c r="AI83" s="37">
        <v>0</v>
      </c>
      <c r="AJ83" s="37">
        <v>0</v>
      </c>
      <c r="AK83" s="37">
        <v>0</v>
      </c>
      <c r="AL83" s="37">
        <f>SUM(AB83:AK83)</f>
        <v>406919</v>
      </c>
      <c r="AM83" s="60"/>
      <c r="AN83" s="37">
        <v>0</v>
      </c>
      <c r="AO83" s="37">
        <v>0</v>
      </c>
      <c r="AP83" s="37">
        <v>0</v>
      </c>
      <c r="AQ83" s="37">
        <v>0</v>
      </c>
      <c r="AR83" s="37">
        <v>0</v>
      </c>
      <c r="AS83" s="37">
        <v>0</v>
      </c>
      <c r="AT83" s="37">
        <v>0</v>
      </c>
      <c r="AU83" s="37">
        <f>101730+101730</f>
        <v>203460</v>
      </c>
      <c r="AV83" s="37">
        <v>0</v>
      </c>
      <c r="AW83" s="37">
        <v>0</v>
      </c>
      <c r="AX83" s="37">
        <v>0</v>
      </c>
      <c r="AY83" s="37">
        <f>SUM(AN83:AX83)</f>
        <v>203460</v>
      </c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</row>
    <row r="84" spans="1:171" ht="15" customHeight="1" x14ac:dyDescent="0.35">
      <c r="A84" s="14" t="s">
        <v>136</v>
      </c>
      <c r="B84" s="23"/>
      <c r="C84" s="24" t="s">
        <v>137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>17538+17538+17538+17538</f>
        <v>70152</v>
      </c>
      <c r="K84" s="37">
        <v>0</v>
      </c>
      <c r="L84" s="37">
        <v>0</v>
      </c>
      <c r="M84" s="37">
        <v>0</v>
      </c>
      <c r="N84" s="37">
        <f>SUM(D84:M84)</f>
        <v>70152</v>
      </c>
      <c r="O84" s="58"/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f>17537.75+17537.75+17537.75</f>
        <v>52613.25</v>
      </c>
      <c r="W84" s="37">
        <v>0</v>
      </c>
      <c r="X84" s="37">
        <v>0</v>
      </c>
      <c r="Y84" s="37">
        <v>0</v>
      </c>
      <c r="Z84" s="37">
        <f>SUM(P84:Y84)</f>
        <v>52613.25</v>
      </c>
      <c r="AA84" s="59"/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f>17538+17538+17538+17537</f>
        <v>70151</v>
      </c>
      <c r="AI84" s="37">
        <v>0</v>
      </c>
      <c r="AJ84" s="37">
        <v>0</v>
      </c>
      <c r="AK84" s="37">
        <v>0</v>
      </c>
      <c r="AL84" s="37">
        <f>SUM(AB84:AK84)</f>
        <v>70151</v>
      </c>
      <c r="AM84" s="60"/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f>17538+17538</f>
        <v>35076</v>
      </c>
      <c r="AV84" s="37">
        <v>0</v>
      </c>
      <c r="AW84" s="37">
        <v>0</v>
      </c>
      <c r="AX84" s="37">
        <v>0</v>
      </c>
      <c r="AY84" s="37">
        <f>SUM(AN84:AX84)</f>
        <v>35076</v>
      </c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</row>
    <row r="85" spans="1:171" ht="15" customHeight="1" x14ac:dyDescent="0.35">
      <c r="A85" s="20">
        <v>60999</v>
      </c>
      <c r="B85" s="23"/>
      <c r="C85" s="26" t="s">
        <v>138</v>
      </c>
      <c r="D85" s="39">
        <f t="shared" ref="D85:M85" si="60">SUM(D83:D84)</f>
        <v>0</v>
      </c>
      <c r="E85" s="39">
        <f t="shared" si="60"/>
        <v>0</v>
      </c>
      <c r="F85" s="39">
        <f t="shared" si="60"/>
        <v>0</v>
      </c>
      <c r="G85" s="39">
        <f t="shared" si="60"/>
        <v>0</v>
      </c>
      <c r="H85" s="39">
        <f t="shared" si="60"/>
        <v>0</v>
      </c>
      <c r="I85" s="39">
        <f t="shared" si="60"/>
        <v>0</v>
      </c>
      <c r="J85" s="39">
        <f t="shared" si="60"/>
        <v>542843</v>
      </c>
      <c r="K85" s="39">
        <f t="shared" si="60"/>
        <v>0</v>
      </c>
      <c r="L85" s="39">
        <f t="shared" si="60"/>
        <v>0</v>
      </c>
      <c r="M85" s="39">
        <f t="shared" si="60"/>
        <v>0</v>
      </c>
      <c r="N85" s="39">
        <f t="shared" ref="N85" si="61">SUM(N83:N84)</f>
        <v>542843</v>
      </c>
      <c r="O85" s="58"/>
      <c r="P85" s="39">
        <f t="shared" ref="P85:Y85" si="62">SUM(P83:P84)</f>
        <v>0</v>
      </c>
      <c r="Q85" s="39">
        <f t="shared" si="62"/>
        <v>0</v>
      </c>
      <c r="R85" s="39">
        <f t="shared" si="62"/>
        <v>0</v>
      </c>
      <c r="S85" s="39">
        <f t="shared" si="62"/>
        <v>0</v>
      </c>
      <c r="T85" s="39">
        <f t="shared" si="62"/>
        <v>0</v>
      </c>
      <c r="U85" s="39">
        <f t="shared" si="62"/>
        <v>0</v>
      </c>
      <c r="V85" s="39">
        <f t="shared" si="62"/>
        <v>464917.87</v>
      </c>
      <c r="W85" s="39">
        <f t="shared" si="62"/>
        <v>0</v>
      </c>
      <c r="X85" s="39">
        <f t="shared" si="62"/>
        <v>0</v>
      </c>
      <c r="Y85" s="39">
        <f t="shared" si="62"/>
        <v>0</v>
      </c>
      <c r="Z85" s="39">
        <f t="shared" ref="Z85" si="63">SUM(Z83:Z84)</f>
        <v>464917.87</v>
      </c>
      <c r="AA85" s="59"/>
      <c r="AB85" s="39">
        <f t="shared" ref="AB85:AK85" si="64">SUM(AB83:AB84)</f>
        <v>0</v>
      </c>
      <c r="AC85" s="39">
        <f t="shared" si="64"/>
        <v>0</v>
      </c>
      <c r="AD85" s="39">
        <f t="shared" si="64"/>
        <v>0</v>
      </c>
      <c r="AE85" s="39">
        <f t="shared" si="64"/>
        <v>0</v>
      </c>
      <c r="AF85" s="39">
        <f t="shared" si="64"/>
        <v>0</v>
      </c>
      <c r="AG85" s="39">
        <f t="shared" si="64"/>
        <v>0</v>
      </c>
      <c r="AH85" s="39">
        <f t="shared" si="64"/>
        <v>477070</v>
      </c>
      <c r="AI85" s="39">
        <f t="shared" si="64"/>
        <v>0</v>
      </c>
      <c r="AJ85" s="39">
        <f t="shared" si="64"/>
        <v>0</v>
      </c>
      <c r="AK85" s="39">
        <f t="shared" si="64"/>
        <v>0</v>
      </c>
      <c r="AL85" s="39">
        <f>SUM(AL83:AL84)</f>
        <v>477070</v>
      </c>
      <c r="AM85" s="60"/>
      <c r="AN85" s="39">
        <f t="shared" ref="AN85:AX85" si="65">SUM(AN83:AN84)</f>
        <v>0</v>
      </c>
      <c r="AO85" s="39">
        <f t="shared" si="65"/>
        <v>0</v>
      </c>
      <c r="AP85" s="39">
        <f t="shared" si="65"/>
        <v>0</v>
      </c>
      <c r="AQ85" s="39">
        <f t="shared" si="65"/>
        <v>0</v>
      </c>
      <c r="AR85" s="39">
        <f t="shared" si="65"/>
        <v>0</v>
      </c>
      <c r="AS85" s="39">
        <f t="shared" si="65"/>
        <v>0</v>
      </c>
      <c r="AT85" s="39">
        <f>SUM(AT83:AT84)</f>
        <v>0</v>
      </c>
      <c r="AU85" s="39">
        <f t="shared" si="65"/>
        <v>238536</v>
      </c>
      <c r="AV85" s="39">
        <f t="shared" si="65"/>
        <v>0</v>
      </c>
      <c r="AW85" s="39">
        <f t="shared" si="65"/>
        <v>0</v>
      </c>
      <c r="AX85" s="39">
        <f t="shared" si="65"/>
        <v>0</v>
      </c>
      <c r="AY85" s="39">
        <f>SUM(AY83:AY84)</f>
        <v>238536</v>
      </c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</row>
    <row r="86" spans="1:171" ht="15" customHeight="1" x14ac:dyDescent="0.35">
      <c r="A86" s="14"/>
      <c r="B86" s="24"/>
      <c r="C86" s="26" t="s">
        <v>139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5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59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60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</row>
    <row r="87" spans="1:171" ht="15" customHeight="1" x14ac:dyDescent="0.35">
      <c r="A87" s="14" t="s">
        <v>140</v>
      </c>
      <c r="B87" s="24"/>
      <c r="C87" s="24" t="s">
        <v>141</v>
      </c>
      <c r="D87" s="37">
        <v>0</v>
      </c>
      <c r="E87" s="37">
        <f>435280+488820+42329+504769+497846</f>
        <v>1969044</v>
      </c>
      <c r="F87" s="37">
        <v>0</v>
      </c>
      <c r="G87" s="37">
        <v>0</v>
      </c>
      <c r="H87" s="37">
        <f>635+412+42-237-9</f>
        <v>843</v>
      </c>
      <c r="I87" s="37">
        <f>-738+467+2582-2231+2656</f>
        <v>2736</v>
      </c>
      <c r="J87" s="37">
        <f>-971+1518+109+5971+13869</f>
        <v>20496</v>
      </c>
      <c r="K87" s="37">
        <v>0</v>
      </c>
      <c r="L87" s="37">
        <v>0</v>
      </c>
      <c r="M87" s="37">
        <v>0</v>
      </c>
      <c r="N87" s="37">
        <f t="shared" ref="N87:N95" si="66">SUM(D87:M87)</f>
        <v>1993119</v>
      </c>
      <c r="O87" s="58"/>
      <c r="P87" s="37">
        <v>0</v>
      </c>
      <c r="Q87" s="37">
        <f>375177+454712+494411</f>
        <v>1324300</v>
      </c>
      <c r="R87" s="37">
        <v>0</v>
      </c>
      <c r="S87" s="37">
        <v>0</v>
      </c>
      <c r="T87" s="37">
        <f>56.96+11.65+101.94</f>
        <v>170.55</v>
      </c>
      <c r="U87" s="37">
        <f>-1148.37+1685.95</f>
        <v>537.58000000000015</v>
      </c>
      <c r="V87" s="37">
        <f>27441.77+25408.03+27628.28</f>
        <v>80478.080000000002</v>
      </c>
      <c r="W87" s="37">
        <v>0</v>
      </c>
      <c r="X87" s="37">
        <v>0</v>
      </c>
      <c r="Y87" s="37">
        <v>0</v>
      </c>
      <c r="Z87" s="37">
        <f>SUM(P87:Y87)</f>
        <v>1405486.2100000002</v>
      </c>
      <c r="AA87" s="59"/>
      <c r="AB87" s="37">
        <v>0</v>
      </c>
      <c r="AC87" s="37">
        <f>453066+361215+183078+806369</f>
        <v>1803728</v>
      </c>
      <c r="AD87" s="37">
        <v>0</v>
      </c>
      <c r="AE87" s="37">
        <v>0</v>
      </c>
      <c r="AF87" s="37">
        <f>2066+6686-10657+13815</f>
        <v>11910</v>
      </c>
      <c r="AG87" s="37">
        <f>-590+22037+11169+49195</f>
        <v>81811</v>
      </c>
      <c r="AH87" s="37">
        <f>24693-1+31648+44992+70022</f>
        <v>171354</v>
      </c>
      <c r="AI87" s="37">
        <v>0</v>
      </c>
      <c r="AJ87" s="37">
        <v>0</v>
      </c>
      <c r="AK87" s="37">
        <v>0</v>
      </c>
      <c r="AL87" s="37">
        <f t="shared" ref="AL87:AL93" si="67">SUM(AB87:AK87)</f>
        <v>2068803</v>
      </c>
      <c r="AM87" s="60"/>
      <c r="AN87" s="37">
        <v>0</v>
      </c>
      <c r="AO87" s="37">
        <v>933728</v>
      </c>
      <c r="AP87" s="37">
        <v>5533</v>
      </c>
      <c r="AQ87" s="37">
        <v>0</v>
      </c>
      <c r="AR87" s="37">
        <v>5555</v>
      </c>
      <c r="AS87" s="37">
        <v>56965</v>
      </c>
      <c r="AT87" s="37">
        <v>0</v>
      </c>
      <c r="AU87" s="37">
        <v>86170</v>
      </c>
      <c r="AV87" s="37">
        <v>0</v>
      </c>
      <c r="AW87" s="37">
        <v>0</v>
      </c>
      <c r="AX87" s="37">
        <v>0</v>
      </c>
      <c r="AY87" s="37">
        <f>SUM(AN87:AX87)</f>
        <v>1087951</v>
      </c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</row>
    <row r="88" spans="1:171" ht="15" customHeight="1" x14ac:dyDescent="0.35">
      <c r="A88" s="28" t="s">
        <v>142</v>
      </c>
      <c r="B88" s="29"/>
      <c r="C88" s="29" t="s">
        <v>143</v>
      </c>
      <c r="D88" s="37">
        <v>0</v>
      </c>
      <c r="E88" s="37">
        <f>556-25399-2847-3845</f>
        <v>-31535</v>
      </c>
      <c r="F88" s="37">
        <v>0</v>
      </c>
      <c r="G88" s="37">
        <v>0</v>
      </c>
      <c r="H88" s="37">
        <f>1-24-3-4</f>
        <v>-30</v>
      </c>
      <c r="I88" s="37">
        <f>34-1550-174-235</f>
        <v>-1925</v>
      </c>
      <c r="J88" s="37">
        <f>1-68-8-10</f>
        <v>-85</v>
      </c>
      <c r="K88" s="37">
        <v>0</v>
      </c>
      <c r="L88" s="37">
        <v>0</v>
      </c>
      <c r="M88" s="37">
        <v>0</v>
      </c>
      <c r="N88" s="37">
        <f t="shared" si="66"/>
        <v>-33575</v>
      </c>
      <c r="O88" s="58"/>
      <c r="P88" s="37">
        <v>0</v>
      </c>
      <c r="Q88" s="37">
        <f>-8848-3725</f>
        <v>-12573</v>
      </c>
      <c r="R88" s="37">
        <v>0</v>
      </c>
      <c r="S88" s="37">
        <v>0</v>
      </c>
      <c r="T88" s="37">
        <f>-0.98-0.41</f>
        <v>-1.39</v>
      </c>
      <c r="U88" s="37">
        <f>-539.78-227.29</f>
        <v>-767.06999999999994</v>
      </c>
      <c r="V88" s="37">
        <f>-638.49-268.84</f>
        <v>-907.32999999999993</v>
      </c>
      <c r="W88" s="37">
        <v>0</v>
      </c>
      <c r="X88" s="37">
        <v>0</v>
      </c>
      <c r="Y88" s="37">
        <v>0</v>
      </c>
      <c r="Z88" s="37">
        <f>SUM(P88:Y88)</f>
        <v>-14248.789999999999</v>
      </c>
      <c r="AA88" s="59"/>
      <c r="AB88" s="37">
        <v>0</v>
      </c>
      <c r="AC88" s="37">
        <f>-3678-3695-707-8553</f>
        <v>-16633</v>
      </c>
      <c r="AD88" s="37">
        <v>0</v>
      </c>
      <c r="AE88" s="37">
        <v>0</v>
      </c>
      <c r="AF88" s="37">
        <f>-5-1-20</f>
        <v>-26</v>
      </c>
      <c r="AG88" s="37">
        <f>-224-1-225-44-521</f>
        <v>-1015</v>
      </c>
      <c r="AH88" s="37">
        <f>-265-234-279-426</f>
        <v>-1204</v>
      </c>
      <c r="AI88" s="37">
        <v>0</v>
      </c>
      <c r="AJ88" s="37">
        <v>0</v>
      </c>
      <c r="AK88" s="37">
        <v>0</v>
      </c>
      <c r="AL88" s="37">
        <f t="shared" si="67"/>
        <v>-18878</v>
      </c>
      <c r="AM88" s="60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</row>
    <row r="89" spans="1:171" ht="15" customHeight="1" x14ac:dyDescent="0.35">
      <c r="A89" s="28" t="s">
        <v>144</v>
      </c>
      <c r="B89" s="29"/>
      <c r="C89" s="29" t="s">
        <v>145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8"/>
      <c r="P89" s="38"/>
      <c r="Q89" s="38"/>
      <c r="R89" s="38">
        <v>0</v>
      </c>
      <c r="S89" s="38"/>
      <c r="T89" s="38"/>
      <c r="U89" s="38"/>
      <c r="V89" s="38"/>
      <c r="W89" s="38"/>
      <c r="X89" s="38"/>
      <c r="Y89" s="38"/>
      <c r="Z89" s="38"/>
      <c r="AA89" s="59"/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5">
        <v>0</v>
      </c>
      <c r="AH89" s="45">
        <v>0</v>
      </c>
      <c r="AI89" s="45">
        <v>0</v>
      </c>
      <c r="AJ89" s="45">
        <v>0</v>
      </c>
      <c r="AK89" s="45">
        <v>0</v>
      </c>
      <c r="AL89" s="37">
        <f t="shared" si="67"/>
        <v>0</v>
      </c>
      <c r="AM89" s="60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</row>
    <row r="90" spans="1:171" ht="15" customHeight="1" x14ac:dyDescent="0.35">
      <c r="A90" s="20">
        <v>61099</v>
      </c>
      <c r="B90" s="24"/>
      <c r="C90" s="26" t="s">
        <v>146</v>
      </c>
      <c r="D90" s="39">
        <f>SUM(D87:D89)</f>
        <v>0</v>
      </c>
      <c r="E90" s="39">
        <f>SUM(E86:E89)</f>
        <v>1937509</v>
      </c>
      <c r="F90" s="39">
        <f t="shared" ref="F90:M90" si="68">SUM(F86:F89)</f>
        <v>0</v>
      </c>
      <c r="G90" s="39">
        <f t="shared" si="68"/>
        <v>0</v>
      </c>
      <c r="H90" s="39">
        <f t="shared" si="68"/>
        <v>813</v>
      </c>
      <c r="I90" s="39">
        <f t="shared" si="68"/>
        <v>811</v>
      </c>
      <c r="J90" s="39">
        <f t="shared" si="68"/>
        <v>20411</v>
      </c>
      <c r="K90" s="39">
        <f t="shared" si="68"/>
        <v>0</v>
      </c>
      <c r="L90" s="39">
        <f t="shared" si="68"/>
        <v>0</v>
      </c>
      <c r="M90" s="39">
        <f t="shared" si="68"/>
        <v>0</v>
      </c>
      <c r="N90" s="39">
        <f t="shared" si="66"/>
        <v>1959544</v>
      </c>
      <c r="O90" s="58"/>
      <c r="P90" s="39">
        <f t="shared" ref="P90:Y90" si="69">SUM(P86:P89)</f>
        <v>0</v>
      </c>
      <c r="Q90" s="39">
        <f t="shared" si="69"/>
        <v>1311727</v>
      </c>
      <c r="R90" s="39">
        <f t="shared" si="69"/>
        <v>0</v>
      </c>
      <c r="S90" s="39">
        <f t="shared" si="69"/>
        <v>0</v>
      </c>
      <c r="T90" s="39">
        <f t="shared" si="69"/>
        <v>169.16000000000003</v>
      </c>
      <c r="U90" s="39">
        <f t="shared" si="69"/>
        <v>-229.48999999999978</v>
      </c>
      <c r="V90" s="39">
        <f t="shared" si="69"/>
        <v>79570.75</v>
      </c>
      <c r="W90" s="39">
        <f t="shared" si="69"/>
        <v>0</v>
      </c>
      <c r="X90" s="39">
        <f t="shared" si="69"/>
        <v>0</v>
      </c>
      <c r="Y90" s="39">
        <f t="shared" si="69"/>
        <v>0</v>
      </c>
      <c r="Z90" s="39">
        <f>SUM(P90:Y90)</f>
        <v>1391237.42</v>
      </c>
      <c r="AA90" s="59"/>
      <c r="AB90" s="39">
        <f t="shared" ref="AB90:AK90" si="70">SUM(AB87:AB89)</f>
        <v>0</v>
      </c>
      <c r="AC90" s="39">
        <f t="shared" si="70"/>
        <v>1787095</v>
      </c>
      <c r="AD90" s="39">
        <f t="shared" si="70"/>
        <v>0</v>
      </c>
      <c r="AE90" s="39">
        <f t="shared" si="70"/>
        <v>0</v>
      </c>
      <c r="AF90" s="39">
        <f t="shared" si="70"/>
        <v>11884</v>
      </c>
      <c r="AG90" s="39">
        <f t="shared" si="70"/>
        <v>80796</v>
      </c>
      <c r="AH90" s="39">
        <f t="shared" si="70"/>
        <v>170150</v>
      </c>
      <c r="AI90" s="39">
        <f t="shared" si="70"/>
        <v>0</v>
      </c>
      <c r="AJ90" s="39">
        <f t="shared" si="70"/>
        <v>0</v>
      </c>
      <c r="AK90" s="39">
        <f t="shared" si="70"/>
        <v>0</v>
      </c>
      <c r="AL90" s="39">
        <f t="shared" si="67"/>
        <v>2049925</v>
      </c>
      <c r="AM90" s="60"/>
      <c r="AN90" s="39">
        <f>SUM(AN87:AN89)</f>
        <v>0</v>
      </c>
      <c r="AO90" s="39">
        <f>SUM(AO86:AO89)</f>
        <v>933728</v>
      </c>
      <c r="AP90" s="39">
        <f t="shared" ref="AP90:AX90" si="71">SUM(AP86:AP89)</f>
        <v>5533</v>
      </c>
      <c r="AQ90" s="39">
        <f t="shared" si="71"/>
        <v>0</v>
      </c>
      <c r="AR90" s="39">
        <f t="shared" si="71"/>
        <v>5555</v>
      </c>
      <c r="AS90" s="39">
        <f t="shared" si="71"/>
        <v>56965</v>
      </c>
      <c r="AT90" s="39">
        <f t="shared" si="71"/>
        <v>0</v>
      </c>
      <c r="AU90" s="39">
        <f t="shared" si="71"/>
        <v>86170</v>
      </c>
      <c r="AV90" s="39">
        <f t="shared" si="71"/>
        <v>0</v>
      </c>
      <c r="AW90" s="39">
        <f t="shared" si="71"/>
        <v>0</v>
      </c>
      <c r="AX90" s="39">
        <f t="shared" si="71"/>
        <v>0</v>
      </c>
      <c r="AY90" s="39">
        <f>SUM(AN90:AX90)</f>
        <v>1087951</v>
      </c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</row>
    <row r="91" spans="1:171" ht="15" customHeight="1" x14ac:dyDescent="0.35">
      <c r="A91" s="14" t="s">
        <v>147</v>
      </c>
      <c r="B91" s="24"/>
      <c r="C91" s="24" t="s">
        <v>148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58"/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37">
        <f>SUM(P91:Y91)</f>
        <v>0</v>
      </c>
      <c r="AA91" s="59"/>
      <c r="AB91" s="45">
        <v>0</v>
      </c>
      <c r="AC91" s="45">
        <v>0</v>
      </c>
      <c r="AD91" s="45">
        <v>0</v>
      </c>
      <c r="AE91" s="45">
        <v>0</v>
      </c>
      <c r="AF91" s="45">
        <v>0</v>
      </c>
      <c r="AG91" s="45">
        <v>0</v>
      </c>
      <c r="AH91" s="45">
        <v>0</v>
      </c>
      <c r="AI91" s="45">
        <v>0</v>
      </c>
      <c r="AJ91" s="45">
        <v>0</v>
      </c>
      <c r="AK91" s="45">
        <v>0</v>
      </c>
      <c r="AL91" s="37">
        <f t="shared" si="67"/>
        <v>0</v>
      </c>
      <c r="AM91" s="60"/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5">
        <v>0</v>
      </c>
      <c r="AU91" s="45">
        <v>0</v>
      </c>
      <c r="AV91" s="45">
        <v>0</v>
      </c>
      <c r="AW91" s="45">
        <v>0</v>
      </c>
      <c r="AX91" s="45">
        <v>0</v>
      </c>
      <c r="AY91" s="45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</row>
    <row r="92" spans="1:171" ht="15" customHeight="1" x14ac:dyDescent="0.35">
      <c r="A92" s="14" t="s">
        <v>149</v>
      </c>
      <c r="B92" s="24"/>
      <c r="C92" s="24" t="s">
        <v>304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474973</v>
      </c>
      <c r="J92" s="37">
        <v>0</v>
      </c>
      <c r="K92" s="37">
        <v>520615</v>
      </c>
      <c r="L92" s="37">
        <v>0</v>
      </c>
      <c r="M92" s="37">
        <v>3900</v>
      </c>
      <c r="N92" s="37">
        <f t="shared" si="66"/>
        <v>999488</v>
      </c>
      <c r="O92" s="58"/>
      <c r="P92" s="47">
        <v>0</v>
      </c>
      <c r="Q92" s="47">
        <v>0</v>
      </c>
      <c r="R92" s="47">
        <v>0</v>
      </c>
      <c r="S92" s="47">
        <v>0</v>
      </c>
      <c r="T92" s="47">
        <v>546922.48</v>
      </c>
      <c r="U92" s="47">
        <v>365885.91000000003</v>
      </c>
      <c r="V92" s="47">
        <v>0</v>
      </c>
      <c r="W92" s="47">
        <v>1004402.89</v>
      </c>
      <c r="X92" s="47">
        <v>0</v>
      </c>
      <c r="Y92" s="47">
        <v>1800</v>
      </c>
      <c r="Z92" s="37">
        <f>SUM(P92:Y92)</f>
        <v>1919011.28</v>
      </c>
      <c r="AA92" s="59"/>
      <c r="AB92" s="37">
        <f>+'[1]FS-SFY Stmt Act Disclsre C-3a'!AA65</f>
        <v>0</v>
      </c>
      <c r="AC92" s="37">
        <f>+'[1]FS-SFY Stmt Act Disclsre C-3a'!AB65</f>
        <v>0</v>
      </c>
      <c r="AD92" s="37">
        <f>+'[1]FS-SFY Stmt Act Disclsre C-3a'!AC65</f>
        <v>0</v>
      </c>
      <c r="AE92" s="37">
        <f>+'[1]FS-SFY Stmt Act Disclsre C-3a'!AF65</f>
        <v>0</v>
      </c>
      <c r="AF92" s="37">
        <f>+'[1]FS-SFY Stmt Act Disclsre C-3a'!AG65</f>
        <v>0</v>
      </c>
      <c r="AG92" s="37">
        <v>555352</v>
      </c>
      <c r="AH92" s="37">
        <v>177907</v>
      </c>
      <c r="AI92" s="37">
        <v>4378305</v>
      </c>
      <c r="AJ92" s="37">
        <v>0</v>
      </c>
      <c r="AK92" s="37">
        <v>15600</v>
      </c>
      <c r="AL92" s="37">
        <f t="shared" si="67"/>
        <v>5127164</v>
      </c>
      <c r="AM92" s="60"/>
      <c r="AN92" s="37">
        <v>0</v>
      </c>
      <c r="AO92" s="37">
        <v>0</v>
      </c>
      <c r="AP92" s="37">
        <v>0</v>
      </c>
      <c r="AQ92" s="37">
        <v>0</v>
      </c>
      <c r="AR92" s="37">
        <v>0</v>
      </c>
      <c r="AS92" s="37">
        <v>0</v>
      </c>
      <c r="AT92" s="37">
        <v>287690</v>
      </c>
      <c r="AU92" s="37">
        <v>108984</v>
      </c>
      <c r="AV92" s="37">
        <v>1638180</v>
      </c>
      <c r="AW92" s="37">
        <v>0</v>
      </c>
      <c r="AX92" s="37">
        <v>6900</v>
      </c>
      <c r="AY92" s="37">
        <f>SUM(AN92:AX92)</f>
        <v>2041754</v>
      </c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</row>
    <row r="93" spans="1:171" ht="15" customHeight="1" x14ac:dyDescent="0.35">
      <c r="A93" s="14" t="s">
        <v>150</v>
      </c>
      <c r="B93" s="24"/>
      <c r="C93" s="24" t="s">
        <v>151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f t="shared" si="66"/>
        <v>0</v>
      </c>
      <c r="O93" s="58"/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37">
        <f>SUM(P93:Y93)</f>
        <v>0</v>
      </c>
      <c r="AA93" s="59"/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37">
        <v>0</v>
      </c>
      <c r="AK93" s="37">
        <v>0</v>
      </c>
      <c r="AL93" s="37">
        <f t="shared" si="67"/>
        <v>0</v>
      </c>
      <c r="AM93" s="60"/>
      <c r="AN93" s="37">
        <v>0</v>
      </c>
      <c r="AO93" s="37">
        <v>0</v>
      </c>
      <c r="AP93" s="37">
        <v>0</v>
      </c>
      <c r="AQ93" s="37">
        <v>0</v>
      </c>
      <c r="AR93" s="37">
        <v>0</v>
      </c>
      <c r="AS93" s="37">
        <v>0</v>
      </c>
      <c r="AT93" s="37">
        <v>0</v>
      </c>
      <c r="AU93" s="37">
        <v>0</v>
      </c>
      <c r="AV93" s="37">
        <v>0</v>
      </c>
      <c r="AW93" s="37">
        <v>0</v>
      </c>
      <c r="AX93" s="37">
        <v>0</v>
      </c>
      <c r="AY93" s="37">
        <f>SUM(AN93:AX93)</f>
        <v>0</v>
      </c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</row>
    <row r="94" spans="1:171" ht="15" customHeight="1" x14ac:dyDescent="0.35">
      <c r="A94" s="20">
        <v>61299</v>
      </c>
      <c r="B94" s="26"/>
      <c r="C94" s="26" t="s">
        <v>152</v>
      </c>
      <c r="D94" s="39">
        <f>D31+D37+D43+D54+D59+D71+D76+D81+D85+D90+D91+D92+D93</f>
        <v>2143849</v>
      </c>
      <c r="E94" s="39">
        <f>E31+E37+E43+E54+E59+E71+E76+E81+E85+E90+E91+E92+E93</f>
        <v>6495359</v>
      </c>
      <c r="F94" s="39">
        <f t="shared" ref="F94:N94" si="72">F31+F37+F43+F54+F59+F71+F76+F81+F85+F90+F91+F92+F93</f>
        <v>38877</v>
      </c>
      <c r="G94" s="39">
        <f t="shared" si="72"/>
        <v>348447</v>
      </c>
      <c r="H94" s="39">
        <f t="shared" si="72"/>
        <v>753299</v>
      </c>
      <c r="I94" s="39">
        <f t="shared" si="72"/>
        <v>849332</v>
      </c>
      <c r="J94" s="39">
        <f t="shared" si="72"/>
        <v>4253382</v>
      </c>
      <c r="K94" s="39">
        <f t="shared" si="72"/>
        <v>520615</v>
      </c>
      <c r="L94" s="39">
        <f t="shared" si="72"/>
        <v>1284281</v>
      </c>
      <c r="M94" s="39">
        <f t="shared" si="72"/>
        <v>3900</v>
      </c>
      <c r="N94" s="39">
        <f t="shared" si="72"/>
        <v>16691341</v>
      </c>
      <c r="O94" s="58"/>
      <c r="P94" s="39">
        <f t="shared" ref="P94:Z94" si="73">P31+P37+P43+P54+P59+P71+P76+P81+P85+P90+P91+P92+P93</f>
        <v>1607589</v>
      </c>
      <c r="Q94" s="39">
        <f t="shared" si="73"/>
        <v>4871519</v>
      </c>
      <c r="R94" s="39">
        <f t="shared" si="73"/>
        <v>612449.73</v>
      </c>
      <c r="S94" s="39">
        <f t="shared" si="73"/>
        <v>0</v>
      </c>
      <c r="T94" s="39">
        <f t="shared" si="73"/>
        <v>1240147.07</v>
      </c>
      <c r="U94" s="39">
        <f t="shared" si="73"/>
        <v>654382.97</v>
      </c>
      <c r="V94" s="39">
        <f t="shared" si="73"/>
        <v>3011585.37</v>
      </c>
      <c r="W94" s="39">
        <f t="shared" si="73"/>
        <v>1004402.89</v>
      </c>
      <c r="X94" s="39">
        <f t="shared" si="73"/>
        <v>1288000</v>
      </c>
      <c r="Y94" s="39">
        <f t="shared" si="73"/>
        <v>1800</v>
      </c>
      <c r="Z94" s="39">
        <f t="shared" si="73"/>
        <v>14291876.029999999</v>
      </c>
      <c r="AA94" s="59"/>
      <c r="AB94" s="39">
        <f t="shared" ref="AB94:AL94" si="74">AB31+AB37+AB43+AB54+AB59+AB71+AB76+AB81+AB85+AB90+AB91+AB92+AB93</f>
        <v>2143452</v>
      </c>
      <c r="AC94" s="39">
        <f t="shared" si="74"/>
        <v>5844325</v>
      </c>
      <c r="AD94" s="39">
        <f t="shared" si="74"/>
        <v>575583</v>
      </c>
      <c r="AE94" s="39">
        <f t="shared" si="74"/>
        <v>242098</v>
      </c>
      <c r="AF94" s="39">
        <f t="shared" si="74"/>
        <v>1571317</v>
      </c>
      <c r="AG94" s="39">
        <f t="shared" si="74"/>
        <v>1124012</v>
      </c>
      <c r="AH94" s="39">
        <f t="shared" si="74"/>
        <v>3861189</v>
      </c>
      <c r="AI94" s="39">
        <f t="shared" si="74"/>
        <v>4378305</v>
      </c>
      <c r="AJ94" s="39">
        <f t="shared" si="74"/>
        <v>1119000</v>
      </c>
      <c r="AK94" s="39">
        <f t="shared" si="74"/>
        <v>15600</v>
      </c>
      <c r="AL94" s="39">
        <f t="shared" si="74"/>
        <v>20874881</v>
      </c>
      <c r="AM94" s="60"/>
      <c r="AN94" s="39">
        <f t="shared" ref="AN94:AY94" si="75">AN31+AN37+AN43+AN54+AN59+AN71+AN76+AN81+AN85+AN90+AN91+AN92+AN93</f>
        <v>1070656</v>
      </c>
      <c r="AO94" s="39">
        <f t="shared" si="75"/>
        <v>2916282</v>
      </c>
      <c r="AP94" s="39">
        <f t="shared" si="75"/>
        <v>92192</v>
      </c>
      <c r="AQ94" s="39">
        <f t="shared" si="75"/>
        <v>71200</v>
      </c>
      <c r="AR94" s="39">
        <f t="shared" si="75"/>
        <v>738936</v>
      </c>
      <c r="AS94" s="39">
        <f t="shared" si="75"/>
        <v>370960</v>
      </c>
      <c r="AT94" s="39">
        <f t="shared" si="75"/>
        <v>287690</v>
      </c>
      <c r="AU94" s="39">
        <f t="shared" si="75"/>
        <v>1932304</v>
      </c>
      <c r="AV94" s="39">
        <f t="shared" si="75"/>
        <v>1638180</v>
      </c>
      <c r="AW94" s="39">
        <f t="shared" si="75"/>
        <v>559500</v>
      </c>
      <c r="AX94" s="39">
        <f t="shared" si="75"/>
        <v>6900</v>
      </c>
      <c r="AY94" s="39">
        <f t="shared" si="75"/>
        <v>9684800</v>
      </c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</row>
    <row r="95" spans="1:171" s="4" customFormat="1" ht="15" customHeight="1" x14ac:dyDescent="0.35">
      <c r="A95" s="14" t="s">
        <v>153</v>
      </c>
      <c r="B95" s="24"/>
      <c r="C95" s="24" t="s">
        <v>154</v>
      </c>
      <c r="D95" s="37">
        <v>0</v>
      </c>
      <c r="E95" s="37">
        <v>0</v>
      </c>
      <c r="F95" s="37">
        <v>362996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269543</v>
      </c>
      <c r="N95" s="37">
        <f t="shared" si="66"/>
        <v>632539</v>
      </c>
      <c r="O95" s="57"/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f>SUM(P95:Y95)</f>
        <v>0</v>
      </c>
      <c r="AA95" s="63"/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f>SUM(AB95:AK95)</f>
        <v>0</v>
      </c>
      <c r="AM95" s="62"/>
      <c r="AN95" s="37">
        <v>0</v>
      </c>
      <c r="AO95" s="37">
        <v>0</v>
      </c>
      <c r="AP95" s="37">
        <v>0</v>
      </c>
      <c r="AQ95" s="37">
        <v>0</v>
      </c>
      <c r="AR95" s="37">
        <v>0</v>
      </c>
      <c r="AS95" s="37">
        <v>0</v>
      </c>
      <c r="AT95" s="37">
        <v>0</v>
      </c>
      <c r="AU95" s="37">
        <v>0</v>
      </c>
      <c r="AV95" s="37">
        <v>0</v>
      </c>
      <c r="AW95" s="37">
        <v>0</v>
      </c>
      <c r="AX95" s="37">
        <v>0</v>
      </c>
      <c r="AY95" s="37">
        <f>SUM(AN95:AX95)</f>
        <v>0</v>
      </c>
      <c r="AZ95" s="16"/>
      <c r="BA95" s="16"/>
      <c r="BB95" s="16"/>
      <c r="BC95" s="16"/>
      <c r="BD95" s="16"/>
      <c r="BE95" s="16"/>
      <c r="BF95" s="16"/>
      <c r="BG95" s="16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</row>
    <row r="96" spans="1:171" s="4" customFormat="1" ht="15" customHeight="1" x14ac:dyDescent="0.35">
      <c r="A96" s="20">
        <v>69998</v>
      </c>
      <c r="B96" s="26"/>
      <c r="C96" s="26" t="s">
        <v>155</v>
      </c>
      <c r="D96" s="39">
        <f>D94+D95</f>
        <v>2143849</v>
      </c>
      <c r="E96" s="39">
        <f>E94+E95</f>
        <v>6495359</v>
      </c>
      <c r="F96" s="39">
        <f t="shared" ref="F96:N96" si="76">F94+F95</f>
        <v>401873</v>
      </c>
      <c r="G96" s="39">
        <f t="shared" si="76"/>
        <v>348447</v>
      </c>
      <c r="H96" s="39">
        <f t="shared" si="76"/>
        <v>753299</v>
      </c>
      <c r="I96" s="39">
        <f t="shared" si="76"/>
        <v>849332</v>
      </c>
      <c r="J96" s="39">
        <f t="shared" si="76"/>
        <v>4253382</v>
      </c>
      <c r="K96" s="39">
        <f t="shared" si="76"/>
        <v>520615</v>
      </c>
      <c r="L96" s="39">
        <f t="shared" si="76"/>
        <v>1284281</v>
      </c>
      <c r="M96" s="39">
        <f t="shared" si="76"/>
        <v>273443</v>
      </c>
      <c r="N96" s="39">
        <f t="shared" si="76"/>
        <v>17323880</v>
      </c>
      <c r="O96" s="57"/>
      <c r="P96" s="39">
        <f t="shared" ref="P96:Z96" si="77">P94+P95</f>
        <v>1607589</v>
      </c>
      <c r="Q96" s="39">
        <f t="shared" si="77"/>
        <v>4871519</v>
      </c>
      <c r="R96" s="39">
        <f t="shared" si="77"/>
        <v>612449.73</v>
      </c>
      <c r="S96" s="39">
        <f t="shared" si="77"/>
        <v>0</v>
      </c>
      <c r="T96" s="39">
        <f t="shared" si="77"/>
        <v>1240147.07</v>
      </c>
      <c r="U96" s="39">
        <f t="shared" si="77"/>
        <v>654382.97</v>
      </c>
      <c r="V96" s="39">
        <f t="shared" si="77"/>
        <v>3011585.37</v>
      </c>
      <c r="W96" s="39">
        <f t="shared" si="77"/>
        <v>1004402.89</v>
      </c>
      <c r="X96" s="39">
        <f t="shared" si="77"/>
        <v>1288000</v>
      </c>
      <c r="Y96" s="39">
        <f t="shared" si="77"/>
        <v>1800</v>
      </c>
      <c r="Z96" s="39">
        <f t="shared" si="77"/>
        <v>14291876.029999999</v>
      </c>
      <c r="AA96" s="63"/>
      <c r="AB96" s="39">
        <f t="shared" ref="AB96:AL96" si="78">AB94+AB95</f>
        <v>2143452</v>
      </c>
      <c r="AC96" s="39">
        <f t="shared" si="78"/>
        <v>5844325</v>
      </c>
      <c r="AD96" s="39">
        <f t="shared" si="78"/>
        <v>575583</v>
      </c>
      <c r="AE96" s="39">
        <f t="shared" si="78"/>
        <v>242098</v>
      </c>
      <c r="AF96" s="39">
        <f t="shared" si="78"/>
        <v>1571317</v>
      </c>
      <c r="AG96" s="39">
        <f t="shared" si="78"/>
        <v>1124012</v>
      </c>
      <c r="AH96" s="39">
        <f t="shared" si="78"/>
        <v>3861189</v>
      </c>
      <c r="AI96" s="39">
        <f t="shared" si="78"/>
        <v>4378305</v>
      </c>
      <c r="AJ96" s="39">
        <f t="shared" si="78"/>
        <v>1119000</v>
      </c>
      <c r="AK96" s="39">
        <f t="shared" si="78"/>
        <v>15600</v>
      </c>
      <c r="AL96" s="39">
        <f t="shared" si="78"/>
        <v>20874881</v>
      </c>
      <c r="AM96" s="62"/>
      <c r="AN96" s="39">
        <f t="shared" ref="AN96:AY96" si="79">AN94+AN95</f>
        <v>1070656</v>
      </c>
      <c r="AO96" s="39">
        <f t="shared" si="79"/>
        <v>2916282</v>
      </c>
      <c r="AP96" s="39">
        <f t="shared" si="79"/>
        <v>92192</v>
      </c>
      <c r="AQ96" s="39">
        <f t="shared" si="79"/>
        <v>71200</v>
      </c>
      <c r="AR96" s="39">
        <f t="shared" si="79"/>
        <v>738936</v>
      </c>
      <c r="AS96" s="39">
        <f t="shared" si="79"/>
        <v>370960</v>
      </c>
      <c r="AT96" s="39">
        <f t="shared" si="79"/>
        <v>287690</v>
      </c>
      <c r="AU96" s="39">
        <f t="shared" si="79"/>
        <v>1932304</v>
      </c>
      <c r="AV96" s="39">
        <f t="shared" si="79"/>
        <v>1638180</v>
      </c>
      <c r="AW96" s="39">
        <f t="shared" si="79"/>
        <v>559500</v>
      </c>
      <c r="AX96" s="39">
        <f t="shared" si="79"/>
        <v>6900</v>
      </c>
      <c r="AY96" s="39">
        <f t="shared" si="79"/>
        <v>9684800</v>
      </c>
      <c r="AZ96" s="16"/>
      <c r="BA96" s="16"/>
      <c r="BB96" s="16"/>
      <c r="BC96" s="16"/>
      <c r="BD96" s="16"/>
      <c r="BE96" s="16"/>
      <c r="BF96" s="16"/>
      <c r="BG96" s="16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</row>
    <row r="97" spans="1:171" s="4" customFormat="1" ht="15" customHeight="1" x14ac:dyDescent="0.35">
      <c r="A97" s="20">
        <v>59999</v>
      </c>
      <c r="B97" s="24"/>
      <c r="C97" s="26" t="s">
        <v>156</v>
      </c>
      <c r="D97" s="39">
        <f>D136</f>
        <v>0</v>
      </c>
      <c r="E97" s="39">
        <f>E136</f>
        <v>0</v>
      </c>
      <c r="F97" s="39">
        <f t="shared" ref="F97:N97" si="80">F136</f>
        <v>0</v>
      </c>
      <c r="G97" s="39">
        <f t="shared" si="80"/>
        <v>0</v>
      </c>
      <c r="H97" s="39">
        <f t="shared" si="80"/>
        <v>0</v>
      </c>
      <c r="I97" s="39">
        <f t="shared" si="80"/>
        <v>0</v>
      </c>
      <c r="J97" s="39">
        <f t="shared" si="80"/>
        <v>0</v>
      </c>
      <c r="K97" s="39">
        <f t="shared" si="80"/>
        <v>0</v>
      </c>
      <c r="L97" s="39">
        <f t="shared" si="80"/>
        <v>0</v>
      </c>
      <c r="M97" s="39">
        <f t="shared" si="80"/>
        <v>0</v>
      </c>
      <c r="N97" s="39">
        <f t="shared" si="80"/>
        <v>0</v>
      </c>
      <c r="O97" s="57"/>
      <c r="P97" s="39">
        <f>P136</f>
        <v>0</v>
      </c>
      <c r="Q97" s="39">
        <f>Q136</f>
        <v>0</v>
      </c>
      <c r="R97" s="39">
        <f t="shared" ref="R97:Z97" si="81">R136</f>
        <v>0</v>
      </c>
      <c r="S97" s="39">
        <f t="shared" si="81"/>
        <v>0</v>
      </c>
      <c r="T97" s="39">
        <f t="shared" si="81"/>
        <v>0</v>
      </c>
      <c r="U97" s="39">
        <f t="shared" si="81"/>
        <v>0</v>
      </c>
      <c r="V97" s="39">
        <f t="shared" si="81"/>
        <v>0</v>
      </c>
      <c r="W97" s="39">
        <f t="shared" si="81"/>
        <v>0</v>
      </c>
      <c r="X97" s="39">
        <f t="shared" si="81"/>
        <v>0</v>
      </c>
      <c r="Y97" s="39">
        <f t="shared" si="81"/>
        <v>0</v>
      </c>
      <c r="Z97" s="39">
        <f t="shared" si="81"/>
        <v>0</v>
      </c>
      <c r="AA97" s="63"/>
      <c r="AB97" s="39">
        <f>AB136</f>
        <v>0</v>
      </c>
      <c r="AC97" s="39">
        <f>AC136</f>
        <v>0</v>
      </c>
      <c r="AD97" s="39">
        <f t="shared" ref="AD97:AL97" si="82">AD136</f>
        <v>0</v>
      </c>
      <c r="AE97" s="39">
        <f t="shared" si="82"/>
        <v>0</v>
      </c>
      <c r="AF97" s="39">
        <f t="shared" si="82"/>
        <v>0</v>
      </c>
      <c r="AG97" s="39">
        <f t="shared" si="82"/>
        <v>0</v>
      </c>
      <c r="AH97" s="39">
        <f t="shared" si="82"/>
        <v>0</v>
      </c>
      <c r="AI97" s="39">
        <f t="shared" si="82"/>
        <v>0</v>
      </c>
      <c r="AJ97" s="39">
        <f t="shared" si="82"/>
        <v>0</v>
      </c>
      <c r="AK97" s="39">
        <f t="shared" si="82"/>
        <v>0</v>
      </c>
      <c r="AL97" s="39">
        <f t="shared" si="82"/>
        <v>0</v>
      </c>
      <c r="AM97" s="62"/>
      <c r="AN97" s="39">
        <f>AN136</f>
        <v>0</v>
      </c>
      <c r="AO97" s="39">
        <f>AO136</f>
        <v>0</v>
      </c>
      <c r="AP97" s="39">
        <f t="shared" ref="AP97:AY97" si="83">AP136</f>
        <v>0</v>
      </c>
      <c r="AQ97" s="39">
        <f t="shared" si="83"/>
        <v>0</v>
      </c>
      <c r="AR97" s="39">
        <f t="shared" si="83"/>
        <v>0</v>
      </c>
      <c r="AS97" s="39">
        <f t="shared" si="83"/>
        <v>0</v>
      </c>
      <c r="AT97" s="39">
        <f>AT136</f>
        <v>0</v>
      </c>
      <c r="AU97" s="39">
        <f t="shared" si="83"/>
        <v>0</v>
      </c>
      <c r="AV97" s="39">
        <f t="shared" si="83"/>
        <v>0</v>
      </c>
      <c r="AW97" s="39">
        <f t="shared" si="83"/>
        <v>0</v>
      </c>
      <c r="AX97" s="39">
        <f t="shared" si="83"/>
        <v>0</v>
      </c>
      <c r="AY97" s="39">
        <f t="shared" si="83"/>
        <v>0</v>
      </c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</row>
    <row r="98" spans="1:171" s="4" customFormat="1" ht="15" customHeight="1" x14ac:dyDescent="0.35">
      <c r="A98" s="20">
        <v>69999</v>
      </c>
      <c r="B98" s="24"/>
      <c r="C98" s="26" t="s">
        <v>157</v>
      </c>
      <c r="D98" s="39">
        <f>D96+D97</f>
        <v>2143849</v>
      </c>
      <c r="E98" s="39">
        <f>E96+E97</f>
        <v>6495359</v>
      </c>
      <c r="F98" s="39">
        <f t="shared" ref="F98:N98" si="84">F96+F97</f>
        <v>401873</v>
      </c>
      <c r="G98" s="39">
        <f t="shared" si="84"/>
        <v>348447</v>
      </c>
      <c r="H98" s="39">
        <f t="shared" si="84"/>
        <v>753299</v>
      </c>
      <c r="I98" s="39">
        <f t="shared" si="84"/>
        <v>849332</v>
      </c>
      <c r="J98" s="39">
        <f t="shared" si="84"/>
        <v>4253382</v>
      </c>
      <c r="K98" s="39">
        <f t="shared" si="84"/>
        <v>520615</v>
      </c>
      <c r="L98" s="39">
        <f t="shared" si="84"/>
        <v>1284281</v>
      </c>
      <c r="M98" s="39">
        <f t="shared" si="84"/>
        <v>273443</v>
      </c>
      <c r="N98" s="39">
        <f t="shared" si="84"/>
        <v>17323880</v>
      </c>
      <c r="O98" s="57"/>
      <c r="P98" s="39">
        <f t="shared" ref="P98:Z98" si="85">P96+P97</f>
        <v>1607589</v>
      </c>
      <c r="Q98" s="39">
        <f t="shared" si="85"/>
        <v>4871519</v>
      </c>
      <c r="R98" s="39">
        <f t="shared" si="85"/>
        <v>612449.73</v>
      </c>
      <c r="S98" s="39">
        <f t="shared" si="85"/>
        <v>0</v>
      </c>
      <c r="T98" s="39">
        <f t="shared" si="85"/>
        <v>1240147.07</v>
      </c>
      <c r="U98" s="39">
        <f t="shared" si="85"/>
        <v>654382.97</v>
      </c>
      <c r="V98" s="39">
        <f t="shared" si="85"/>
        <v>3011585.37</v>
      </c>
      <c r="W98" s="39">
        <f t="shared" si="85"/>
        <v>1004402.89</v>
      </c>
      <c r="X98" s="39">
        <f t="shared" si="85"/>
        <v>1288000</v>
      </c>
      <c r="Y98" s="39">
        <f t="shared" si="85"/>
        <v>1800</v>
      </c>
      <c r="Z98" s="39">
        <f t="shared" si="85"/>
        <v>14291876.029999999</v>
      </c>
      <c r="AA98" s="63"/>
      <c r="AB98" s="39">
        <f t="shared" ref="AB98:AL98" si="86">AB96+AB97</f>
        <v>2143452</v>
      </c>
      <c r="AC98" s="39">
        <f t="shared" si="86"/>
        <v>5844325</v>
      </c>
      <c r="AD98" s="39">
        <f t="shared" si="86"/>
        <v>575583</v>
      </c>
      <c r="AE98" s="39">
        <f t="shared" si="86"/>
        <v>242098</v>
      </c>
      <c r="AF98" s="39">
        <f t="shared" si="86"/>
        <v>1571317</v>
      </c>
      <c r="AG98" s="39">
        <f t="shared" si="86"/>
        <v>1124012</v>
      </c>
      <c r="AH98" s="39">
        <f t="shared" si="86"/>
        <v>3861189</v>
      </c>
      <c r="AI98" s="39">
        <f t="shared" si="86"/>
        <v>4378305</v>
      </c>
      <c r="AJ98" s="39">
        <f t="shared" si="86"/>
        <v>1119000</v>
      </c>
      <c r="AK98" s="39">
        <f t="shared" si="86"/>
        <v>15600</v>
      </c>
      <c r="AL98" s="39">
        <f t="shared" si="86"/>
        <v>20874881</v>
      </c>
      <c r="AM98" s="62"/>
      <c r="AN98" s="39">
        <f t="shared" ref="AN98:AY98" si="87">AN96+AN97</f>
        <v>1070656</v>
      </c>
      <c r="AO98" s="39">
        <f t="shared" si="87"/>
        <v>2916282</v>
      </c>
      <c r="AP98" s="39">
        <f t="shared" si="87"/>
        <v>92192</v>
      </c>
      <c r="AQ98" s="39">
        <f t="shared" si="87"/>
        <v>71200</v>
      </c>
      <c r="AR98" s="39">
        <f t="shared" si="87"/>
        <v>738936</v>
      </c>
      <c r="AS98" s="39">
        <f t="shared" si="87"/>
        <v>370960</v>
      </c>
      <c r="AT98" s="39">
        <f t="shared" si="87"/>
        <v>287690</v>
      </c>
      <c r="AU98" s="39">
        <f t="shared" si="87"/>
        <v>1932304</v>
      </c>
      <c r="AV98" s="39">
        <f t="shared" si="87"/>
        <v>1638180</v>
      </c>
      <c r="AW98" s="39">
        <f t="shared" si="87"/>
        <v>559500</v>
      </c>
      <c r="AX98" s="39">
        <f t="shared" si="87"/>
        <v>6900</v>
      </c>
      <c r="AY98" s="39">
        <f t="shared" si="87"/>
        <v>9684800</v>
      </c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</row>
    <row r="99" spans="1:171" s="4" customFormat="1" ht="15" customHeight="1" x14ac:dyDescent="0.35">
      <c r="A99" s="14" t="s">
        <v>158</v>
      </c>
      <c r="B99" s="24"/>
      <c r="C99" s="24" t="s">
        <v>159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58"/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63"/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0</v>
      </c>
      <c r="AK99" s="37">
        <v>0</v>
      </c>
      <c r="AL99" s="37">
        <v>0</v>
      </c>
      <c r="AM99" s="62"/>
      <c r="AN99" s="37">
        <v>0</v>
      </c>
      <c r="AO99" s="37">
        <v>0</v>
      </c>
      <c r="AP99" s="37">
        <v>0</v>
      </c>
      <c r="AQ99" s="37">
        <v>0</v>
      </c>
      <c r="AR99" s="37">
        <v>0</v>
      </c>
      <c r="AS99" s="37">
        <v>0</v>
      </c>
      <c r="AT99" s="37">
        <v>0</v>
      </c>
      <c r="AU99" s="37">
        <v>0</v>
      </c>
      <c r="AV99" s="37">
        <v>0</v>
      </c>
      <c r="AW99" s="37">
        <v>0</v>
      </c>
      <c r="AX99" s="37">
        <v>0</v>
      </c>
      <c r="AY99" s="37">
        <f>SUM(AN99:AX99)</f>
        <v>0</v>
      </c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</row>
    <row r="100" spans="1:171" s="4" customFormat="1" ht="15" customHeight="1" x14ac:dyDescent="0.35">
      <c r="A100" s="14" t="s">
        <v>160</v>
      </c>
      <c r="B100" s="24"/>
      <c r="C100" s="24" t="s">
        <v>161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57"/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63"/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37">
        <v>0</v>
      </c>
      <c r="AK100" s="37">
        <v>0</v>
      </c>
      <c r="AL100" s="37">
        <v>0</v>
      </c>
      <c r="AM100" s="62"/>
      <c r="AN100" s="37">
        <v>0</v>
      </c>
      <c r="AO100" s="37">
        <v>0</v>
      </c>
      <c r="AP100" s="37">
        <v>0</v>
      </c>
      <c r="AQ100" s="37">
        <v>0</v>
      </c>
      <c r="AR100" s="37">
        <v>0</v>
      </c>
      <c r="AS100" s="37">
        <v>0</v>
      </c>
      <c r="AT100" s="37">
        <v>0</v>
      </c>
      <c r="AU100" s="37">
        <v>0</v>
      </c>
      <c r="AV100" s="37">
        <v>0</v>
      </c>
      <c r="AW100" s="37">
        <v>0</v>
      </c>
      <c r="AX100" s="37">
        <v>0</v>
      </c>
      <c r="AY100" s="37">
        <f>SUM(AN100:AX100)</f>
        <v>0</v>
      </c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</row>
    <row r="101" spans="1:171" s="4" customFormat="1" ht="15" customHeight="1" x14ac:dyDescent="0.35">
      <c r="A101" s="14" t="s">
        <v>162</v>
      </c>
      <c r="B101" s="24"/>
      <c r="C101" s="24" t="s">
        <v>163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57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63"/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7">
        <v>0</v>
      </c>
      <c r="AL101" s="37">
        <v>0</v>
      </c>
      <c r="AM101" s="62"/>
      <c r="AN101" s="37">
        <v>0</v>
      </c>
      <c r="AO101" s="37">
        <v>0</v>
      </c>
      <c r="AP101" s="37">
        <v>0</v>
      </c>
      <c r="AQ101" s="37">
        <v>0</v>
      </c>
      <c r="AR101" s="37">
        <v>0</v>
      </c>
      <c r="AS101" s="37">
        <v>0</v>
      </c>
      <c r="AT101" s="37">
        <v>0</v>
      </c>
      <c r="AU101" s="37">
        <v>0</v>
      </c>
      <c r="AV101" s="37">
        <v>0</v>
      </c>
      <c r="AW101" s="37">
        <v>0</v>
      </c>
      <c r="AX101" s="37">
        <v>0</v>
      </c>
      <c r="AY101" s="37">
        <f>SUM(AN101:AX101)</f>
        <v>0</v>
      </c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</row>
    <row r="102" spans="1:171" s="4" customFormat="1" ht="15" customHeight="1" x14ac:dyDescent="0.35">
      <c r="A102" s="14" t="s">
        <v>164</v>
      </c>
      <c r="B102" s="24"/>
      <c r="C102" s="24" t="s">
        <v>165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57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63"/>
      <c r="AB102" s="38"/>
      <c r="AC102" s="38"/>
      <c r="AD102" s="38"/>
      <c r="AE102" s="40"/>
      <c r="AF102" s="40"/>
      <c r="AG102" s="40"/>
      <c r="AH102" s="40"/>
      <c r="AI102" s="40"/>
      <c r="AJ102" s="40"/>
      <c r="AK102" s="40"/>
      <c r="AL102" s="40"/>
      <c r="AM102" s="62"/>
      <c r="AN102" s="45">
        <v>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5">
        <v>0</v>
      </c>
      <c r="AU102" s="45">
        <v>0</v>
      </c>
      <c r="AV102" s="37">
        <v>0</v>
      </c>
      <c r="AW102" s="37">
        <v>0</v>
      </c>
      <c r="AX102" s="37">
        <v>0</v>
      </c>
      <c r="AY102" s="37">
        <f>SUM(AN102:AX102)</f>
        <v>0</v>
      </c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</row>
    <row r="103" spans="1:171" s="4" customFormat="1" ht="15" customHeight="1" x14ac:dyDescent="0.35">
      <c r="A103" s="14" t="s">
        <v>166</v>
      </c>
      <c r="B103" s="24"/>
      <c r="C103" s="24" t="s">
        <v>167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57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63"/>
      <c r="AB103" s="38"/>
      <c r="AC103" s="38"/>
      <c r="AD103" s="38"/>
      <c r="AE103" s="40"/>
      <c r="AF103" s="40"/>
      <c r="AG103" s="40"/>
      <c r="AH103" s="40"/>
      <c r="AI103" s="40"/>
      <c r="AJ103" s="40"/>
      <c r="AK103" s="40"/>
      <c r="AL103" s="40"/>
      <c r="AM103" s="62"/>
      <c r="AN103" s="45">
        <v>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5">
        <v>0</v>
      </c>
      <c r="AU103" s="45">
        <v>0</v>
      </c>
      <c r="AV103" s="37">
        <v>0</v>
      </c>
      <c r="AW103" s="37">
        <v>0</v>
      </c>
      <c r="AX103" s="37">
        <v>0</v>
      </c>
      <c r="AY103" s="37">
        <f>SUM(AN103:AX103)</f>
        <v>0</v>
      </c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</row>
    <row r="104" spans="1:171" ht="15" customHeight="1" x14ac:dyDescent="0.35">
      <c r="A104" s="20">
        <v>85999</v>
      </c>
      <c r="B104" s="24"/>
      <c r="C104" s="26" t="s">
        <v>168</v>
      </c>
      <c r="D104" s="39">
        <f>D98+D99+D100+D101+D102+D103</f>
        <v>2143849</v>
      </c>
      <c r="E104" s="39">
        <f>E98+E99+E100+E101+E102+E103</f>
        <v>6495359</v>
      </c>
      <c r="F104" s="39">
        <f t="shared" ref="F104:N104" si="88">F98+F99+F100+F101+F102+F103</f>
        <v>401873</v>
      </c>
      <c r="G104" s="39">
        <f t="shared" si="88"/>
        <v>348447</v>
      </c>
      <c r="H104" s="39">
        <f t="shared" si="88"/>
        <v>753299</v>
      </c>
      <c r="I104" s="39">
        <f t="shared" si="88"/>
        <v>849332</v>
      </c>
      <c r="J104" s="39">
        <f t="shared" si="88"/>
        <v>4253382</v>
      </c>
      <c r="K104" s="39">
        <f t="shared" si="88"/>
        <v>520615</v>
      </c>
      <c r="L104" s="39">
        <f t="shared" si="88"/>
        <v>1284281</v>
      </c>
      <c r="M104" s="39">
        <f t="shared" si="88"/>
        <v>273443</v>
      </c>
      <c r="N104" s="39">
        <f t="shared" si="88"/>
        <v>17323880</v>
      </c>
      <c r="O104" s="58"/>
      <c r="P104" s="39">
        <f t="shared" ref="P104:Z104" si="89">P98+P99+P100+P101+P102+P103</f>
        <v>1607589</v>
      </c>
      <c r="Q104" s="39">
        <f t="shared" si="89"/>
        <v>4871519</v>
      </c>
      <c r="R104" s="39">
        <f t="shared" si="89"/>
        <v>612449.73</v>
      </c>
      <c r="S104" s="39">
        <f t="shared" si="89"/>
        <v>0</v>
      </c>
      <c r="T104" s="39">
        <f t="shared" si="89"/>
        <v>1240147.07</v>
      </c>
      <c r="U104" s="39">
        <f t="shared" si="89"/>
        <v>654382.97</v>
      </c>
      <c r="V104" s="39">
        <f t="shared" si="89"/>
        <v>3011585.37</v>
      </c>
      <c r="W104" s="39">
        <f t="shared" si="89"/>
        <v>1004402.89</v>
      </c>
      <c r="X104" s="39">
        <f t="shared" si="89"/>
        <v>1288000</v>
      </c>
      <c r="Y104" s="39">
        <f t="shared" si="89"/>
        <v>1800</v>
      </c>
      <c r="Z104" s="39">
        <f t="shared" si="89"/>
        <v>14291876.029999999</v>
      </c>
      <c r="AA104" s="59"/>
      <c r="AB104" s="39">
        <f t="shared" ref="AB104:AL104" si="90">AB98+AB99+AB100+AB101+AB102+AB103</f>
        <v>2143452</v>
      </c>
      <c r="AC104" s="39">
        <f t="shared" si="90"/>
        <v>5844325</v>
      </c>
      <c r="AD104" s="39">
        <f t="shared" si="90"/>
        <v>575583</v>
      </c>
      <c r="AE104" s="39">
        <f t="shared" si="90"/>
        <v>242098</v>
      </c>
      <c r="AF104" s="39">
        <f t="shared" si="90"/>
        <v>1571317</v>
      </c>
      <c r="AG104" s="39">
        <f t="shared" si="90"/>
        <v>1124012</v>
      </c>
      <c r="AH104" s="39">
        <f t="shared" si="90"/>
        <v>3861189</v>
      </c>
      <c r="AI104" s="39">
        <f t="shared" si="90"/>
        <v>4378305</v>
      </c>
      <c r="AJ104" s="39">
        <f t="shared" si="90"/>
        <v>1119000</v>
      </c>
      <c r="AK104" s="39">
        <f t="shared" si="90"/>
        <v>15600</v>
      </c>
      <c r="AL104" s="39">
        <f t="shared" si="90"/>
        <v>20874881</v>
      </c>
      <c r="AM104" s="60"/>
      <c r="AN104" s="39">
        <f t="shared" ref="AN104:AY104" si="91">AN98+AN99+AN100+AN101+AN102+AN103</f>
        <v>1070656</v>
      </c>
      <c r="AO104" s="39">
        <f t="shared" si="91"/>
        <v>2916282</v>
      </c>
      <c r="AP104" s="39">
        <f t="shared" si="91"/>
        <v>92192</v>
      </c>
      <c r="AQ104" s="39">
        <f t="shared" si="91"/>
        <v>71200</v>
      </c>
      <c r="AR104" s="39">
        <f t="shared" si="91"/>
        <v>738936</v>
      </c>
      <c r="AS104" s="39">
        <f t="shared" si="91"/>
        <v>370960</v>
      </c>
      <c r="AT104" s="39">
        <f t="shared" si="91"/>
        <v>287690</v>
      </c>
      <c r="AU104" s="39">
        <f t="shared" si="91"/>
        <v>1932304</v>
      </c>
      <c r="AV104" s="39">
        <f t="shared" si="91"/>
        <v>1638180</v>
      </c>
      <c r="AW104" s="39">
        <f t="shared" si="91"/>
        <v>559500</v>
      </c>
      <c r="AX104" s="39">
        <f t="shared" si="91"/>
        <v>6900</v>
      </c>
      <c r="AY104" s="39">
        <f t="shared" si="91"/>
        <v>9684800</v>
      </c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</row>
    <row r="105" spans="1:171" ht="15" customHeight="1" x14ac:dyDescent="0.35">
      <c r="A105" s="10"/>
      <c r="B105" s="24"/>
      <c r="C105" s="30" t="s">
        <v>169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58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59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60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</row>
    <row r="106" spans="1:171" ht="15" customHeight="1" x14ac:dyDescent="0.35">
      <c r="A106" s="14"/>
      <c r="B106" s="24"/>
      <c r="C106" s="26" t="s">
        <v>170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58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59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60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</row>
    <row r="107" spans="1:171" ht="15" customHeight="1" x14ac:dyDescent="0.35">
      <c r="A107" s="14" t="s">
        <v>171</v>
      </c>
      <c r="B107" s="24"/>
      <c r="C107" s="24" t="s">
        <v>172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f>SUM(D107:M107)</f>
        <v>0</v>
      </c>
      <c r="O107" s="58"/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f>SUM(P107:Y107)</f>
        <v>0</v>
      </c>
      <c r="AA107" s="59"/>
      <c r="AB107" s="37">
        <v>0</v>
      </c>
      <c r="AC107" s="37">
        <v>0</v>
      </c>
      <c r="AD107" s="37">
        <v>0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f>SUM(AB107:AK107)</f>
        <v>0</v>
      </c>
      <c r="AM107" s="60"/>
      <c r="AN107" s="37">
        <v>0</v>
      </c>
      <c r="AO107" s="37">
        <v>0</v>
      </c>
      <c r="AP107" s="37">
        <v>0</v>
      </c>
      <c r="AQ107" s="37">
        <v>0</v>
      </c>
      <c r="AR107" s="37">
        <v>0</v>
      </c>
      <c r="AS107" s="37">
        <v>0</v>
      </c>
      <c r="AT107" s="37">
        <v>0</v>
      </c>
      <c r="AU107" s="37">
        <v>0</v>
      </c>
      <c r="AV107" s="37">
        <v>0</v>
      </c>
      <c r="AW107" s="37">
        <v>0</v>
      </c>
      <c r="AX107" s="37">
        <v>0</v>
      </c>
      <c r="AY107" s="37">
        <f>SUM(AN107:AX107)</f>
        <v>0</v>
      </c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</row>
    <row r="108" spans="1:171" ht="15" customHeight="1" x14ac:dyDescent="0.35">
      <c r="A108" s="14" t="s">
        <v>173</v>
      </c>
      <c r="B108" s="24"/>
      <c r="C108" s="24" t="s">
        <v>174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f>SUM(D108:M108)</f>
        <v>0</v>
      </c>
      <c r="O108" s="58"/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v>0</v>
      </c>
      <c r="Y108" s="37">
        <v>0</v>
      </c>
      <c r="Z108" s="37">
        <f>SUM(P108:Y108)</f>
        <v>0</v>
      </c>
      <c r="AA108" s="59"/>
      <c r="AB108" s="37">
        <v>0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f>SUM(AB108:AK108)</f>
        <v>0</v>
      </c>
      <c r="AM108" s="60"/>
      <c r="AN108" s="37">
        <v>0</v>
      </c>
      <c r="AO108" s="37">
        <v>0</v>
      </c>
      <c r="AP108" s="37">
        <v>0</v>
      </c>
      <c r="AQ108" s="37">
        <v>0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0</v>
      </c>
      <c r="AX108" s="37">
        <v>0</v>
      </c>
      <c r="AY108" s="37">
        <f>SUM(AN108:AX108)</f>
        <v>0</v>
      </c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</row>
    <row r="109" spans="1:171" ht="15" customHeight="1" x14ac:dyDescent="0.35">
      <c r="A109" s="17">
        <v>50115</v>
      </c>
      <c r="B109" s="31"/>
      <c r="C109" s="31" t="s">
        <v>175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f>SUM(D109:M109)</f>
        <v>0</v>
      </c>
      <c r="O109" s="58"/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v>0</v>
      </c>
      <c r="Y109" s="37">
        <v>0</v>
      </c>
      <c r="Z109" s="37">
        <f>SUM(P109:Y109)</f>
        <v>0</v>
      </c>
      <c r="AA109" s="59"/>
      <c r="AB109" s="37">
        <v>0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f>SUM(AB109:AK109)</f>
        <v>0</v>
      </c>
      <c r="AM109" s="60"/>
      <c r="AN109" s="37">
        <v>0</v>
      </c>
      <c r="AO109" s="37">
        <v>0</v>
      </c>
      <c r="AP109" s="37">
        <v>0</v>
      </c>
      <c r="AQ109" s="37">
        <v>0</v>
      </c>
      <c r="AR109" s="37">
        <v>0</v>
      </c>
      <c r="AS109" s="37">
        <v>0</v>
      </c>
      <c r="AT109" s="37">
        <v>0</v>
      </c>
      <c r="AU109" s="37">
        <v>0</v>
      </c>
      <c r="AV109" s="37">
        <v>0</v>
      </c>
      <c r="AW109" s="37">
        <v>0</v>
      </c>
      <c r="AX109" s="37">
        <v>0</v>
      </c>
      <c r="AY109" s="37">
        <f>SUM(AN109:AX109)</f>
        <v>0</v>
      </c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</row>
    <row r="110" spans="1:171" ht="15" customHeight="1" x14ac:dyDescent="0.35">
      <c r="A110" s="20">
        <v>50199</v>
      </c>
      <c r="B110" s="24"/>
      <c r="C110" s="26" t="s">
        <v>176</v>
      </c>
      <c r="D110" s="39">
        <f>SUM(D107:D109)</f>
        <v>0</v>
      </c>
      <c r="E110" s="39">
        <f>SUM(E107:E109)</f>
        <v>0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58"/>
      <c r="P110" s="39">
        <f>SUM(P107:P109)</f>
        <v>0</v>
      </c>
      <c r="Q110" s="39">
        <f>SUM(Q107:Q109)</f>
        <v>0</v>
      </c>
      <c r="R110" s="39"/>
      <c r="S110" s="39"/>
      <c r="T110" s="39"/>
      <c r="U110" s="39"/>
      <c r="V110" s="39"/>
      <c r="W110" s="39"/>
      <c r="X110" s="39"/>
      <c r="Y110" s="39"/>
      <c r="Z110" s="39"/>
      <c r="AA110" s="59"/>
      <c r="AB110" s="39">
        <f>SUM(AB107:AB109)</f>
        <v>0</v>
      </c>
      <c r="AC110" s="39">
        <f>SUM(AC107:AC109)</f>
        <v>0</v>
      </c>
      <c r="AD110" s="39"/>
      <c r="AE110" s="39"/>
      <c r="AF110" s="39"/>
      <c r="AG110" s="39"/>
      <c r="AH110" s="39"/>
      <c r="AI110" s="39"/>
      <c r="AJ110" s="39"/>
      <c r="AK110" s="39"/>
      <c r="AL110" s="39"/>
      <c r="AM110" s="60"/>
      <c r="AN110" s="39">
        <f>SUM(AN107:AN109)</f>
        <v>0</v>
      </c>
      <c r="AO110" s="39">
        <f>SUM(AO107:AO109)</f>
        <v>0</v>
      </c>
      <c r="AP110" s="39">
        <f t="shared" ref="AP110:AY110" si="92">SUM(AP107:AP109)</f>
        <v>0</v>
      </c>
      <c r="AQ110" s="39">
        <f t="shared" si="92"/>
        <v>0</v>
      </c>
      <c r="AR110" s="39">
        <f t="shared" si="92"/>
        <v>0</v>
      </c>
      <c r="AS110" s="39">
        <f t="shared" si="92"/>
        <v>0</v>
      </c>
      <c r="AT110" s="39">
        <f t="shared" si="92"/>
        <v>0</v>
      </c>
      <c r="AU110" s="39">
        <f t="shared" si="92"/>
        <v>0</v>
      </c>
      <c r="AV110" s="39">
        <f t="shared" si="92"/>
        <v>0</v>
      </c>
      <c r="AW110" s="39">
        <f t="shared" si="92"/>
        <v>0</v>
      </c>
      <c r="AX110" s="39">
        <f t="shared" si="92"/>
        <v>0</v>
      </c>
      <c r="AY110" s="39">
        <f t="shared" si="92"/>
        <v>0</v>
      </c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</row>
    <row r="111" spans="1:171" ht="15" customHeight="1" x14ac:dyDescent="0.35">
      <c r="A111" s="14"/>
      <c r="B111" s="24"/>
      <c r="C111" s="26" t="s">
        <v>177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58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59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60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</row>
    <row r="112" spans="1:171" ht="15" customHeight="1" x14ac:dyDescent="0.35">
      <c r="A112" s="14" t="s">
        <v>178</v>
      </c>
      <c r="B112" s="24"/>
      <c r="C112" s="24" t="s">
        <v>179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f>SUM(D112:M112)</f>
        <v>0</v>
      </c>
      <c r="O112" s="58"/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0</v>
      </c>
      <c r="Y112" s="37">
        <v>0</v>
      </c>
      <c r="Z112" s="37">
        <f>SUM(P112:Y112)</f>
        <v>0</v>
      </c>
      <c r="AA112" s="59"/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f>SUM(AB112:AK112)</f>
        <v>0</v>
      </c>
      <c r="AM112" s="60"/>
      <c r="AN112" s="37">
        <v>0</v>
      </c>
      <c r="AO112" s="37">
        <v>0</v>
      </c>
      <c r="AP112" s="37">
        <v>0</v>
      </c>
      <c r="AQ112" s="37">
        <v>0</v>
      </c>
      <c r="AR112" s="37">
        <v>0</v>
      </c>
      <c r="AS112" s="37">
        <v>0</v>
      </c>
      <c r="AT112" s="37">
        <v>0</v>
      </c>
      <c r="AU112" s="37">
        <v>0</v>
      </c>
      <c r="AV112" s="37">
        <v>0</v>
      </c>
      <c r="AW112" s="37">
        <v>0</v>
      </c>
      <c r="AX112" s="37">
        <v>0</v>
      </c>
      <c r="AY112" s="37">
        <f>SUM(AN112:AX112)</f>
        <v>0</v>
      </c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</row>
    <row r="113" spans="1:171" ht="15" customHeight="1" x14ac:dyDescent="0.35">
      <c r="A113" s="14" t="s">
        <v>180</v>
      </c>
      <c r="B113" s="24"/>
      <c r="C113" s="24" t="s">
        <v>181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f t="shared" ref="N113:N118" si="93">SUM(D113:M113)</f>
        <v>0</v>
      </c>
      <c r="O113" s="58"/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f t="shared" ref="Z113:Z118" si="94">SUM(P113:Y113)</f>
        <v>0</v>
      </c>
      <c r="AA113" s="59"/>
      <c r="AB113" s="37">
        <v>0</v>
      </c>
      <c r="AC113" s="37">
        <v>0</v>
      </c>
      <c r="AD113" s="37">
        <v>0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7">
        <v>0</v>
      </c>
      <c r="AL113" s="37">
        <f t="shared" ref="AL113:AL118" si="95">SUM(AB113:AK113)</f>
        <v>0</v>
      </c>
      <c r="AM113" s="60"/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37">
        <v>0</v>
      </c>
      <c r="AY113" s="37">
        <f t="shared" ref="AY113:AY118" si="96">SUM(AN113:AX113)</f>
        <v>0</v>
      </c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</row>
    <row r="114" spans="1:171" ht="15" customHeight="1" x14ac:dyDescent="0.35">
      <c r="A114" s="14" t="s">
        <v>182</v>
      </c>
      <c r="B114" s="24"/>
      <c r="C114" s="24" t="s">
        <v>183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f t="shared" si="93"/>
        <v>0</v>
      </c>
      <c r="O114" s="58"/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v>0</v>
      </c>
      <c r="Y114" s="37">
        <v>0</v>
      </c>
      <c r="Z114" s="37">
        <f t="shared" si="94"/>
        <v>0</v>
      </c>
      <c r="AA114" s="59"/>
      <c r="AB114" s="37">
        <v>0</v>
      </c>
      <c r="AC114" s="37">
        <v>0</v>
      </c>
      <c r="AD114" s="37">
        <v>0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7">
        <v>0</v>
      </c>
      <c r="AL114" s="37">
        <f t="shared" si="95"/>
        <v>0</v>
      </c>
      <c r="AM114" s="60"/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7">
        <v>0</v>
      </c>
      <c r="AY114" s="37">
        <f t="shared" si="96"/>
        <v>0</v>
      </c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</row>
    <row r="115" spans="1:171" ht="15" customHeight="1" x14ac:dyDescent="0.35">
      <c r="A115" s="14" t="s">
        <v>184</v>
      </c>
      <c r="B115" s="24"/>
      <c r="C115" s="24" t="s">
        <v>185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f t="shared" si="93"/>
        <v>0</v>
      </c>
      <c r="O115" s="58"/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v>0</v>
      </c>
      <c r="Y115" s="37">
        <v>0</v>
      </c>
      <c r="Z115" s="37">
        <f t="shared" si="94"/>
        <v>0</v>
      </c>
      <c r="AA115" s="59"/>
      <c r="AB115" s="37">
        <v>0</v>
      </c>
      <c r="AC115" s="37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7">
        <v>0</v>
      </c>
      <c r="AL115" s="37">
        <f t="shared" si="95"/>
        <v>0</v>
      </c>
      <c r="AM115" s="60"/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7">
        <v>0</v>
      </c>
      <c r="AY115" s="37">
        <f t="shared" si="96"/>
        <v>0</v>
      </c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</row>
    <row r="116" spans="1:171" ht="15" customHeight="1" x14ac:dyDescent="0.35">
      <c r="A116" s="14" t="s">
        <v>186</v>
      </c>
      <c r="B116" s="24"/>
      <c r="C116" s="24" t="s">
        <v>187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f t="shared" si="93"/>
        <v>0</v>
      </c>
      <c r="O116" s="58"/>
      <c r="P116" s="37">
        <v>0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v>0</v>
      </c>
      <c r="Y116" s="37">
        <v>0</v>
      </c>
      <c r="Z116" s="37">
        <f t="shared" si="94"/>
        <v>0</v>
      </c>
      <c r="AA116" s="59"/>
      <c r="AB116" s="37">
        <v>0</v>
      </c>
      <c r="AC116" s="37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7">
        <v>0</v>
      </c>
      <c r="AL116" s="37">
        <f t="shared" si="95"/>
        <v>0</v>
      </c>
      <c r="AM116" s="60"/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f t="shared" si="96"/>
        <v>0</v>
      </c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</row>
    <row r="117" spans="1:171" ht="15" customHeight="1" x14ac:dyDescent="0.35">
      <c r="A117" s="17" t="s">
        <v>188</v>
      </c>
      <c r="B117" s="31"/>
      <c r="C117" s="31" t="s">
        <v>189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f t="shared" si="93"/>
        <v>0</v>
      </c>
      <c r="O117" s="58"/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f t="shared" si="94"/>
        <v>0</v>
      </c>
      <c r="AA117" s="59"/>
      <c r="AB117" s="37">
        <v>0</v>
      </c>
      <c r="AC117" s="37">
        <v>0</v>
      </c>
      <c r="AD117" s="37">
        <v>0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7">
        <v>0</v>
      </c>
      <c r="AL117" s="37">
        <f t="shared" si="95"/>
        <v>0</v>
      </c>
      <c r="AM117" s="60"/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0</v>
      </c>
      <c r="AX117" s="37">
        <v>0</v>
      </c>
      <c r="AY117" s="37">
        <f t="shared" si="96"/>
        <v>0</v>
      </c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</row>
    <row r="118" spans="1:171" ht="15" customHeight="1" x14ac:dyDescent="0.35">
      <c r="A118" s="17" t="s">
        <v>190</v>
      </c>
      <c r="B118" s="31"/>
      <c r="C118" s="31" t="s">
        <v>23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f t="shared" si="93"/>
        <v>0</v>
      </c>
      <c r="O118" s="58"/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f t="shared" si="94"/>
        <v>0</v>
      </c>
      <c r="AA118" s="59"/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f t="shared" si="95"/>
        <v>0</v>
      </c>
      <c r="AM118" s="60"/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f t="shared" si="96"/>
        <v>0</v>
      </c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</row>
    <row r="119" spans="1:171" ht="15" customHeight="1" x14ac:dyDescent="0.35">
      <c r="A119" s="20">
        <v>50299</v>
      </c>
      <c r="B119" s="24"/>
      <c r="C119" s="26" t="s">
        <v>191</v>
      </c>
      <c r="D119" s="39">
        <f>SUM(D112:D118)</f>
        <v>0</v>
      </c>
      <c r="E119" s="39">
        <f>SUM(E112:E118)</f>
        <v>0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58"/>
      <c r="P119" s="39">
        <f>SUM(P112:P118)</f>
        <v>0</v>
      </c>
      <c r="Q119" s="39">
        <f>SUM(Q112:Q118)</f>
        <v>0</v>
      </c>
      <c r="R119" s="39"/>
      <c r="S119" s="39"/>
      <c r="T119" s="39"/>
      <c r="U119" s="39"/>
      <c r="V119" s="39"/>
      <c r="W119" s="39"/>
      <c r="X119" s="39"/>
      <c r="Y119" s="39"/>
      <c r="Z119" s="39"/>
      <c r="AA119" s="59"/>
      <c r="AB119" s="39">
        <f>SUM(AB112:AB118)</f>
        <v>0</v>
      </c>
      <c r="AC119" s="39">
        <f>SUM(AC112:AC118)</f>
        <v>0</v>
      </c>
      <c r="AD119" s="39"/>
      <c r="AE119" s="39"/>
      <c r="AF119" s="39"/>
      <c r="AG119" s="39"/>
      <c r="AH119" s="39"/>
      <c r="AI119" s="39"/>
      <c r="AJ119" s="39"/>
      <c r="AK119" s="39"/>
      <c r="AL119" s="39"/>
      <c r="AM119" s="60"/>
      <c r="AN119" s="39">
        <f>SUM(AN112:AN118)</f>
        <v>0</v>
      </c>
      <c r="AO119" s="39">
        <f>SUM(AO112:AO118)</f>
        <v>0</v>
      </c>
      <c r="AP119" s="39">
        <f t="shared" ref="AP119:AY119" si="97">SUM(AP112:AP118)</f>
        <v>0</v>
      </c>
      <c r="AQ119" s="39">
        <f t="shared" si="97"/>
        <v>0</v>
      </c>
      <c r="AR119" s="39">
        <f t="shared" si="97"/>
        <v>0</v>
      </c>
      <c r="AS119" s="39">
        <f t="shared" si="97"/>
        <v>0</v>
      </c>
      <c r="AT119" s="39">
        <f t="shared" si="97"/>
        <v>0</v>
      </c>
      <c r="AU119" s="39">
        <f t="shared" si="97"/>
        <v>0</v>
      </c>
      <c r="AV119" s="39">
        <f t="shared" si="97"/>
        <v>0</v>
      </c>
      <c r="AW119" s="39">
        <f t="shared" si="97"/>
        <v>0</v>
      </c>
      <c r="AX119" s="39">
        <f t="shared" si="97"/>
        <v>0</v>
      </c>
      <c r="AY119" s="39">
        <f t="shared" si="97"/>
        <v>0</v>
      </c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</row>
    <row r="120" spans="1:171" ht="15" customHeight="1" x14ac:dyDescent="0.35">
      <c r="A120" s="20"/>
      <c r="B120" s="24"/>
      <c r="C120" s="26" t="s">
        <v>192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58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59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60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</row>
    <row r="121" spans="1:171" ht="15" customHeight="1" x14ac:dyDescent="0.35">
      <c r="A121" s="14" t="s">
        <v>193</v>
      </c>
      <c r="B121" s="24"/>
      <c r="C121" s="24" t="s">
        <v>194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f>SUM(D121:M121)</f>
        <v>0</v>
      </c>
      <c r="O121" s="58"/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0</v>
      </c>
      <c r="Y121" s="37">
        <v>0</v>
      </c>
      <c r="Z121" s="37">
        <f>SUM(P121:Y121)</f>
        <v>0</v>
      </c>
      <c r="AA121" s="59"/>
      <c r="AB121" s="37"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f>SUM(AB121:AK121)</f>
        <v>0</v>
      </c>
      <c r="AM121" s="60"/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f>SUM(AN121:AX121)</f>
        <v>0</v>
      </c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</row>
    <row r="122" spans="1:171" ht="15" customHeight="1" x14ac:dyDescent="0.35">
      <c r="A122" s="14" t="s">
        <v>195</v>
      </c>
      <c r="B122" s="24"/>
      <c r="C122" s="24" t="s">
        <v>196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f>SUM(D122:M122)</f>
        <v>0</v>
      </c>
      <c r="O122" s="58"/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  <c r="X122" s="37">
        <v>0</v>
      </c>
      <c r="Y122" s="37">
        <v>0</v>
      </c>
      <c r="Z122" s="37">
        <f>SUM(P122:Y122)</f>
        <v>0</v>
      </c>
      <c r="AA122" s="59"/>
      <c r="AB122" s="37">
        <v>0</v>
      </c>
      <c r="AC122" s="37">
        <v>0</v>
      </c>
      <c r="AD122" s="37">
        <v>0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f>SUM(AB122:AK122)</f>
        <v>0</v>
      </c>
      <c r="AM122" s="60"/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f>SUM(AN122:AX122)</f>
        <v>0</v>
      </c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</row>
    <row r="123" spans="1:171" ht="15" customHeight="1" x14ac:dyDescent="0.35">
      <c r="A123" s="28" t="s">
        <v>197</v>
      </c>
      <c r="B123" s="29"/>
      <c r="C123" s="29" t="s">
        <v>198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f>SUM(D123:M123)</f>
        <v>0</v>
      </c>
      <c r="O123" s="58"/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  <c r="X123" s="37">
        <v>0</v>
      </c>
      <c r="Y123" s="37">
        <v>0</v>
      </c>
      <c r="Z123" s="37">
        <f>SUM(P123:Y123)</f>
        <v>0</v>
      </c>
      <c r="AA123" s="59"/>
      <c r="AB123" s="37">
        <v>0</v>
      </c>
      <c r="AC123" s="37">
        <v>0</v>
      </c>
      <c r="AD123" s="37">
        <v>0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7">
        <v>0</v>
      </c>
      <c r="AL123" s="37">
        <f>SUM(AB123:AK123)</f>
        <v>0</v>
      </c>
      <c r="AM123" s="60"/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37">
        <v>0</v>
      </c>
      <c r="AX123" s="37">
        <v>0</v>
      </c>
      <c r="AY123" s="37">
        <f>SUM(AN123:AX123)</f>
        <v>0</v>
      </c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</row>
    <row r="124" spans="1:171" ht="15" customHeight="1" x14ac:dyDescent="0.35">
      <c r="A124" s="28" t="s">
        <v>199</v>
      </c>
      <c r="B124" s="29"/>
      <c r="C124" s="29" t="s">
        <v>200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5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59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60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</row>
    <row r="125" spans="1:171" ht="15" customHeight="1" x14ac:dyDescent="0.35">
      <c r="A125" s="14" t="s">
        <v>201</v>
      </c>
      <c r="B125" s="24"/>
      <c r="C125" s="24" t="s">
        <v>202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f>SUM(D125:M125)</f>
        <v>0</v>
      </c>
      <c r="O125" s="58"/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f>SUM(P125:Y125)</f>
        <v>0</v>
      </c>
      <c r="AA125" s="59"/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f>SUM(AB125:AK125)</f>
        <v>0</v>
      </c>
      <c r="AM125" s="60"/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f>SUM(AN125:AX125)</f>
        <v>0</v>
      </c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</row>
    <row r="126" spans="1:171" ht="16.5" customHeight="1" x14ac:dyDescent="0.35">
      <c r="A126" s="14" t="s">
        <v>203</v>
      </c>
      <c r="B126" s="24"/>
      <c r="C126" s="24" t="s">
        <v>204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f t="shared" ref="N126:N134" si="98">SUM(D126:M126)</f>
        <v>0</v>
      </c>
      <c r="O126" s="58"/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f t="shared" ref="Z126:Z134" si="99">SUM(P126:Y126)</f>
        <v>0</v>
      </c>
      <c r="AA126" s="59"/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7">
        <v>0</v>
      </c>
      <c r="AL126" s="37">
        <f t="shared" ref="AL126:AL134" si="100">SUM(AB126:AK126)</f>
        <v>0</v>
      </c>
      <c r="AM126" s="60"/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f t="shared" ref="AY126:AY134" si="101">SUM(AN126:AX126)</f>
        <v>0</v>
      </c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</row>
    <row r="127" spans="1:171" ht="15" customHeight="1" x14ac:dyDescent="0.35">
      <c r="A127" s="14" t="s">
        <v>205</v>
      </c>
      <c r="B127" s="24"/>
      <c r="C127" s="24" t="s">
        <v>206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f t="shared" si="98"/>
        <v>0</v>
      </c>
      <c r="O127" s="58"/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f t="shared" si="99"/>
        <v>0</v>
      </c>
      <c r="AA127" s="59"/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7">
        <v>0</v>
      </c>
      <c r="AL127" s="37">
        <f t="shared" si="100"/>
        <v>0</v>
      </c>
      <c r="AM127" s="60"/>
      <c r="AN127" s="37">
        <v>0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f t="shared" si="101"/>
        <v>0</v>
      </c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</row>
    <row r="128" spans="1:171" ht="15" customHeight="1" x14ac:dyDescent="0.35">
      <c r="A128" s="14" t="s">
        <v>207</v>
      </c>
      <c r="B128" s="24"/>
      <c r="C128" s="24" t="s">
        <v>208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f t="shared" si="98"/>
        <v>0</v>
      </c>
      <c r="O128" s="58"/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v>0</v>
      </c>
      <c r="Y128" s="37">
        <v>0</v>
      </c>
      <c r="Z128" s="37">
        <f t="shared" si="99"/>
        <v>0</v>
      </c>
      <c r="AA128" s="59"/>
      <c r="AB128" s="37">
        <v>0</v>
      </c>
      <c r="AC128" s="37">
        <v>0</v>
      </c>
      <c r="AD128" s="37">
        <v>0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7">
        <v>0</v>
      </c>
      <c r="AL128" s="37">
        <f t="shared" si="100"/>
        <v>0</v>
      </c>
      <c r="AM128" s="60"/>
      <c r="AN128" s="37">
        <v>0</v>
      </c>
      <c r="AO128" s="37">
        <v>0</v>
      </c>
      <c r="AP128" s="37">
        <v>0</v>
      </c>
      <c r="AQ128" s="37">
        <v>0</v>
      </c>
      <c r="AR128" s="37">
        <v>0</v>
      </c>
      <c r="AS128" s="37">
        <v>0</v>
      </c>
      <c r="AT128" s="37">
        <v>0</v>
      </c>
      <c r="AU128" s="37">
        <v>0</v>
      </c>
      <c r="AV128" s="37">
        <v>0</v>
      </c>
      <c r="AW128" s="37">
        <v>0</v>
      </c>
      <c r="AX128" s="37">
        <v>0</v>
      </c>
      <c r="AY128" s="37">
        <f t="shared" si="101"/>
        <v>0</v>
      </c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</row>
    <row r="129" spans="1:171" ht="15" customHeight="1" x14ac:dyDescent="0.35">
      <c r="A129" s="14" t="s">
        <v>209</v>
      </c>
      <c r="B129" s="24"/>
      <c r="C129" s="24" t="s">
        <v>92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f t="shared" si="98"/>
        <v>0</v>
      </c>
      <c r="O129" s="58"/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v>0</v>
      </c>
      <c r="Y129" s="37">
        <v>0</v>
      </c>
      <c r="Z129" s="37">
        <f t="shared" si="99"/>
        <v>0</v>
      </c>
      <c r="AA129" s="59"/>
      <c r="AB129" s="37">
        <v>0</v>
      </c>
      <c r="AC129" s="37">
        <v>0</v>
      </c>
      <c r="AD129" s="37">
        <v>0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f t="shared" si="100"/>
        <v>0</v>
      </c>
      <c r="AM129" s="60"/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f t="shared" si="101"/>
        <v>0</v>
      </c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</row>
    <row r="130" spans="1:171" ht="15" customHeight="1" x14ac:dyDescent="0.35">
      <c r="A130" s="14" t="s">
        <v>210</v>
      </c>
      <c r="B130" s="24"/>
      <c r="C130" s="24" t="s">
        <v>211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f t="shared" si="98"/>
        <v>0</v>
      </c>
      <c r="O130" s="58"/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f t="shared" si="99"/>
        <v>0</v>
      </c>
      <c r="AA130" s="59"/>
      <c r="AB130" s="37">
        <v>0</v>
      </c>
      <c r="AC130" s="37">
        <v>0</v>
      </c>
      <c r="AD130" s="37">
        <v>0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f t="shared" si="100"/>
        <v>0</v>
      </c>
      <c r="AM130" s="60"/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f t="shared" si="101"/>
        <v>0</v>
      </c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</row>
    <row r="131" spans="1:171" ht="15" customHeight="1" x14ac:dyDescent="0.35">
      <c r="A131" s="14" t="s">
        <v>212</v>
      </c>
      <c r="B131" s="24"/>
      <c r="C131" s="24" t="s">
        <v>213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f t="shared" si="98"/>
        <v>0</v>
      </c>
      <c r="O131" s="58"/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f t="shared" si="99"/>
        <v>0</v>
      </c>
      <c r="AA131" s="59"/>
      <c r="AB131" s="37">
        <v>0</v>
      </c>
      <c r="AC131" s="37">
        <v>0</v>
      </c>
      <c r="AD131" s="37">
        <v>0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7">
        <v>0</v>
      </c>
      <c r="AL131" s="37">
        <f t="shared" si="100"/>
        <v>0</v>
      </c>
      <c r="AM131" s="60"/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7">
        <v>0</v>
      </c>
      <c r="AY131" s="37">
        <f t="shared" si="101"/>
        <v>0</v>
      </c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</row>
    <row r="132" spans="1:171" ht="15" customHeight="1" x14ac:dyDescent="0.35">
      <c r="A132" s="32" t="s">
        <v>214</v>
      </c>
      <c r="B132" s="24"/>
      <c r="C132" s="25" t="s">
        <v>215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f t="shared" si="98"/>
        <v>0</v>
      </c>
      <c r="O132" s="58"/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  <c r="X132" s="37">
        <v>0</v>
      </c>
      <c r="Y132" s="37">
        <v>0</v>
      </c>
      <c r="Z132" s="37">
        <f t="shared" si="99"/>
        <v>0</v>
      </c>
      <c r="AA132" s="59"/>
      <c r="AB132" s="37">
        <v>0</v>
      </c>
      <c r="AC132" s="37">
        <v>0</v>
      </c>
      <c r="AD132" s="37">
        <v>0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f t="shared" si="100"/>
        <v>0</v>
      </c>
      <c r="AM132" s="60"/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0</v>
      </c>
      <c r="AW132" s="37">
        <v>0</v>
      </c>
      <c r="AX132" s="37">
        <v>0</v>
      </c>
      <c r="AY132" s="37">
        <f t="shared" si="101"/>
        <v>0</v>
      </c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</row>
    <row r="133" spans="1:171" ht="15" customHeight="1" x14ac:dyDescent="0.35">
      <c r="A133" s="17" t="s">
        <v>216</v>
      </c>
      <c r="B133" s="31"/>
      <c r="C133" s="31" t="s">
        <v>217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f t="shared" si="98"/>
        <v>0</v>
      </c>
      <c r="O133" s="58"/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  <c r="X133" s="37">
        <v>0</v>
      </c>
      <c r="Y133" s="37">
        <v>0</v>
      </c>
      <c r="Z133" s="37">
        <f t="shared" si="99"/>
        <v>0</v>
      </c>
      <c r="AA133" s="59"/>
      <c r="AB133" s="37">
        <v>0</v>
      </c>
      <c r="AC133" s="37">
        <v>0</v>
      </c>
      <c r="AD133" s="37">
        <v>0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f t="shared" si="100"/>
        <v>0</v>
      </c>
      <c r="AM133" s="60"/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7">
        <v>0</v>
      </c>
      <c r="AY133" s="37">
        <f t="shared" si="101"/>
        <v>0</v>
      </c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</row>
    <row r="134" spans="1:171" ht="15" customHeight="1" x14ac:dyDescent="0.35">
      <c r="A134" s="14" t="s">
        <v>218</v>
      </c>
      <c r="B134" s="24"/>
      <c r="C134" s="24" t="s">
        <v>192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f t="shared" si="98"/>
        <v>0</v>
      </c>
      <c r="O134" s="58"/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f t="shared" si="99"/>
        <v>0</v>
      </c>
      <c r="AA134" s="59"/>
      <c r="AB134" s="37">
        <v>0</v>
      </c>
      <c r="AC134" s="37">
        <v>0</v>
      </c>
      <c r="AD134" s="37">
        <v>0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f t="shared" si="100"/>
        <v>0</v>
      </c>
      <c r="AM134" s="60"/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f t="shared" si="101"/>
        <v>0</v>
      </c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</row>
    <row r="135" spans="1:171" ht="15" customHeight="1" x14ac:dyDescent="0.35">
      <c r="A135" s="20">
        <v>50399</v>
      </c>
      <c r="B135" s="24"/>
      <c r="C135" s="26" t="s">
        <v>219</v>
      </c>
      <c r="D135" s="39">
        <f>SUM(D121:D134)</f>
        <v>0</v>
      </c>
      <c r="E135" s="39">
        <f>SUM(E121:E134)</f>
        <v>0</v>
      </c>
      <c r="F135" s="39">
        <f t="shared" ref="F135:N135" si="102">SUM(F121:F134)</f>
        <v>0</v>
      </c>
      <c r="G135" s="39">
        <f t="shared" si="102"/>
        <v>0</v>
      </c>
      <c r="H135" s="39">
        <f t="shared" si="102"/>
        <v>0</v>
      </c>
      <c r="I135" s="39">
        <f t="shared" si="102"/>
        <v>0</v>
      </c>
      <c r="J135" s="39">
        <f t="shared" si="102"/>
        <v>0</v>
      </c>
      <c r="K135" s="39">
        <f t="shared" si="102"/>
        <v>0</v>
      </c>
      <c r="L135" s="39">
        <f t="shared" si="102"/>
        <v>0</v>
      </c>
      <c r="M135" s="39">
        <f t="shared" si="102"/>
        <v>0</v>
      </c>
      <c r="N135" s="39">
        <f t="shared" si="102"/>
        <v>0</v>
      </c>
      <c r="O135" s="58"/>
      <c r="P135" s="39">
        <f t="shared" ref="P135:Z135" si="103">SUM(P121:P134)</f>
        <v>0</v>
      </c>
      <c r="Q135" s="39">
        <f t="shared" si="103"/>
        <v>0</v>
      </c>
      <c r="R135" s="39">
        <f t="shared" si="103"/>
        <v>0</v>
      </c>
      <c r="S135" s="39">
        <f t="shared" si="103"/>
        <v>0</v>
      </c>
      <c r="T135" s="39">
        <f t="shared" si="103"/>
        <v>0</v>
      </c>
      <c r="U135" s="39">
        <f t="shared" si="103"/>
        <v>0</v>
      </c>
      <c r="V135" s="39">
        <f t="shared" si="103"/>
        <v>0</v>
      </c>
      <c r="W135" s="39">
        <f t="shared" si="103"/>
        <v>0</v>
      </c>
      <c r="X135" s="39">
        <f t="shared" si="103"/>
        <v>0</v>
      </c>
      <c r="Y135" s="39">
        <f t="shared" si="103"/>
        <v>0</v>
      </c>
      <c r="Z135" s="39">
        <f t="shared" si="103"/>
        <v>0</v>
      </c>
      <c r="AA135" s="59"/>
      <c r="AB135" s="39">
        <f t="shared" ref="AB135:AL135" si="104">SUM(AB121:AB134)</f>
        <v>0</v>
      </c>
      <c r="AC135" s="39">
        <f t="shared" si="104"/>
        <v>0</v>
      </c>
      <c r="AD135" s="39">
        <f t="shared" si="104"/>
        <v>0</v>
      </c>
      <c r="AE135" s="39">
        <f t="shared" si="104"/>
        <v>0</v>
      </c>
      <c r="AF135" s="39">
        <f t="shared" si="104"/>
        <v>0</v>
      </c>
      <c r="AG135" s="39">
        <f t="shared" si="104"/>
        <v>0</v>
      </c>
      <c r="AH135" s="39">
        <f t="shared" si="104"/>
        <v>0</v>
      </c>
      <c r="AI135" s="39">
        <f t="shared" si="104"/>
        <v>0</v>
      </c>
      <c r="AJ135" s="39">
        <f t="shared" si="104"/>
        <v>0</v>
      </c>
      <c r="AK135" s="39">
        <f t="shared" si="104"/>
        <v>0</v>
      </c>
      <c r="AL135" s="39">
        <f t="shared" si="104"/>
        <v>0</v>
      </c>
      <c r="AM135" s="60"/>
      <c r="AN135" s="39">
        <f t="shared" ref="AN135:AY135" si="105">SUM(AN121:AN134)</f>
        <v>0</v>
      </c>
      <c r="AO135" s="39">
        <f t="shared" si="105"/>
        <v>0</v>
      </c>
      <c r="AP135" s="39">
        <f t="shared" si="105"/>
        <v>0</v>
      </c>
      <c r="AQ135" s="39">
        <f t="shared" si="105"/>
        <v>0</v>
      </c>
      <c r="AR135" s="39">
        <f t="shared" si="105"/>
        <v>0</v>
      </c>
      <c r="AS135" s="39">
        <f t="shared" si="105"/>
        <v>0</v>
      </c>
      <c r="AT135" s="39">
        <f t="shared" si="105"/>
        <v>0</v>
      </c>
      <c r="AU135" s="39">
        <f t="shared" si="105"/>
        <v>0</v>
      </c>
      <c r="AV135" s="39">
        <f t="shared" si="105"/>
        <v>0</v>
      </c>
      <c r="AW135" s="39">
        <f t="shared" si="105"/>
        <v>0</v>
      </c>
      <c r="AX135" s="39">
        <f t="shared" si="105"/>
        <v>0</v>
      </c>
      <c r="AY135" s="39">
        <f t="shared" si="105"/>
        <v>0</v>
      </c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</row>
    <row r="136" spans="1:171" ht="15" customHeight="1" x14ac:dyDescent="0.35">
      <c r="A136" s="20">
        <v>59999</v>
      </c>
      <c r="B136" s="24"/>
      <c r="C136" s="26" t="s">
        <v>220</v>
      </c>
      <c r="D136" s="39">
        <f>D110+D119+D135</f>
        <v>0</v>
      </c>
      <c r="E136" s="39">
        <f>E110+E119+E135</f>
        <v>0</v>
      </c>
      <c r="F136" s="39">
        <f t="shared" ref="F136:N136" si="106">F110+F119+F135</f>
        <v>0</v>
      </c>
      <c r="G136" s="39">
        <f t="shared" si="106"/>
        <v>0</v>
      </c>
      <c r="H136" s="39">
        <f t="shared" si="106"/>
        <v>0</v>
      </c>
      <c r="I136" s="39">
        <f t="shared" si="106"/>
        <v>0</v>
      </c>
      <c r="J136" s="39">
        <f t="shared" si="106"/>
        <v>0</v>
      </c>
      <c r="K136" s="39">
        <f t="shared" si="106"/>
        <v>0</v>
      </c>
      <c r="L136" s="39">
        <f t="shared" si="106"/>
        <v>0</v>
      </c>
      <c r="M136" s="39">
        <f t="shared" si="106"/>
        <v>0</v>
      </c>
      <c r="N136" s="39">
        <f t="shared" si="106"/>
        <v>0</v>
      </c>
      <c r="O136" s="58"/>
      <c r="P136" s="39">
        <f t="shared" ref="P136:Z136" si="107">P110+P119+P135</f>
        <v>0</v>
      </c>
      <c r="Q136" s="39">
        <f t="shared" si="107"/>
        <v>0</v>
      </c>
      <c r="R136" s="39">
        <f t="shared" si="107"/>
        <v>0</v>
      </c>
      <c r="S136" s="39">
        <f t="shared" si="107"/>
        <v>0</v>
      </c>
      <c r="T136" s="39">
        <f t="shared" si="107"/>
        <v>0</v>
      </c>
      <c r="U136" s="39">
        <f t="shared" si="107"/>
        <v>0</v>
      </c>
      <c r="V136" s="39">
        <f t="shared" si="107"/>
        <v>0</v>
      </c>
      <c r="W136" s="39">
        <f t="shared" si="107"/>
        <v>0</v>
      </c>
      <c r="X136" s="39">
        <f t="shared" si="107"/>
        <v>0</v>
      </c>
      <c r="Y136" s="39">
        <f t="shared" si="107"/>
        <v>0</v>
      </c>
      <c r="Z136" s="39">
        <f t="shared" si="107"/>
        <v>0</v>
      </c>
      <c r="AA136" s="59"/>
      <c r="AB136" s="39">
        <f t="shared" ref="AB136:AL136" si="108">AB110+AB119+AB135</f>
        <v>0</v>
      </c>
      <c r="AC136" s="39">
        <f t="shared" si="108"/>
        <v>0</v>
      </c>
      <c r="AD136" s="39">
        <f t="shared" si="108"/>
        <v>0</v>
      </c>
      <c r="AE136" s="39">
        <f t="shared" si="108"/>
        <v>0</v>
      </c>
      <c r="AF136" s="39">
        <f t="shared" si="108"/>
        <v>0</v>
      </c>
      <c r="AG136" s="39">
        <f t="shared" si="108"/>
        <v>0</v>
      </c>
      <c r="AH136" s="39">
        <f t="shared" si="108"/>
        <v>0</v>
      </c>
      <c r="AI136" s="39">
        <f t="shared" si="108"/>
        <v>0</v>
      </c>
      <c r="AJ136" s="39">
        <f t="shared" si="108"/>
        <v>0</v>
      </c>
      <c r="AK136" s="39">
        <f t="shared" si="108"/>
        <v>0</v>
      </c>
      <c r="AL136" s="39">
        <f t="shared" si="108"/>
        <v>0</v>
      </c>
      <c r="AM136" s="60"/>
      <c r="AN136" s="39">
        <f t="shared" ref="AN136:AY136" si="109">AN110+AN119+AN135</f>
        <v>0</v>
      </c>
      <c r="AO136" s="39">
        <f t="shared" si="109"/>
        <v>0</v>
      </c>
      <c r="AP136" s="39">
        <f t="shared" si="109"/>
        <v>0</v>
      </c>
      <c r="AQ136" s="39">
        <f t="shared" si="109"/>
        <v>0</v>
      </c>
      <c r="AR136" s="39">
        <f t="shared" si="109"/>
        <v>0</v>
      </c>
      <c r="AS136" s="39">
        <f t="shared" si="109"/>
        <v>0</v>
      </c>
      <c r="AT136" s="39">
        <f t="shared" si="109"/>
        <v>0</v>
      </c>
      <c r="AU136" s="39">
        <f t="shared" si="109"/>
        <v>0</v>
      </c>
      <c r="AV136" s="39">
        <f t="shared" si="109"/>
        <v>0</v>
      </c>
      <c r="AW136" s="39">
        <f t="shared" si="109"/>
        <v>0</v>
      </c>
      <c r="AX136" s="39">
        <f t="shared" si="109"/>
        <v>0</v>
      </c>
      <c r="AY136" s="39">
        <f t="shared" si="109"/>
        <v>0</v>
      </c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</row>
    <row r="137" spans="1:171" ht="15" customHeight="1" x14ac:dyDescent="0.35">
      <c r="A137" s="10"/>
      <c r="B137" s="26"/>
      <c r="C137" s="26" t="s">
        <v>221</v>
      </c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58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59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60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</row>
    <row r="138" spans="1:171" ht="15" customHeight="1" x14ac:dyDescent="0.35">
      <c r="A138" s="14" t="s">
        <v>222</v>
      </c>
      <c r="B138" s="24"/>
      <c r="C138" s="24" t="s">
        <v>223</v>
      </c>
      <c r="D138" s="37">
        <v>138927</v>
      </c>
      <c r="E138" s="37">
        <v>411526</v>
      </c>
      <c r="F138" s="37">
        <v>2305</v>
      </c>
      <c r="G138" s="37">
        <v>24690</v>
      </c>
      <c r="H138" s="37">
        <v>39173</v>
      </c>
      <c r="I138" s="37">
        <v>44160</v>
      </c>
      <c r="J138" s="37">
        <v>221031</v>
      </c>
      <c r="K138" s="37">
        <v>36654</v>
      </c>
      <c r="L138" s="37">
        <v>85300</v>
      </c>
      <c r="M138" s="37">
        <v>246</v>
      </c>
      <c r="N138" s="37">
        <f>SUM(D138:M138)</f>
        <v>1004012</v>
      </c>
      <c r="O138" s="58"/>
      <c r="P138" s="37">
        <v>72892</v>
      </c>
      <c r="Q138" s="37">
        <v>220693</v>
      </c>
      <c r="R138" s="37">
        <v>27591</v>
      </c>
      <c r="S138" s="37">
        <v>0</v>
      </c>
      <c r="T138" s="37">
        <v>58198</v>
      </c>
      <c r="U138" s="37">
        <v>30706</v>
      </c>
      <c r="V138" s="37">
        <v>141322</v>
      </c>
      <c r="W138" s="37">
        <v>44095</v>
      </c>
      <c r="X138" s="37">
        <v>58401</v>
      </c>
      <c r="Y138" s="37">
        <v>72</v>
      </c>
      <c r="Z138" s="37">
        <f>SUM(P138:Y138)</f>
        <v>653970</v>
      </c>
      <c r="AA138" s="59"/>
      <c r="AB138" s="37">
        <v>85062</v>
      </c>
      <c r="AC138" s="37">
        <v>227316</v>
      </c>
      <c r="AD138" s="37">
        <v>22295</v>
      </c>
      <c r="AE138" s="37">
        <v>9722</v>
      </c>
      <c r="AF138" s="37">
        <v>64843</v>
      </c>
      <c r="AG138" s="37">
        <v>43720</v>
      </c>
      <c r="AH138" s="37">
        <v>158926</v>
      </c>
      <c r="AI138" s="37">
        <v>175994</v>
      </c>
      <c r="AJ138" s="37">
        <v>44371</v>
      </c>
      <c r="AK138" s="37">
        <v>508</v>
      </c>
      <c r="AL138" s="37">
        <f>SUM(AB138:AK138)</f>
        <v>832757</v>
      </c>
      <c r="AM138" s="60"/>
      <c r="AN138" s="37">
        <v>42857</v>
      </c>
      <c r="AO138" s="37">
        <v>112095</v>
      </c>
      <c r="AP138" s="37">
        <v>4057</v>
      </c>
      <c r="AQ138" s="37">
        <v>3361</v>
      </c>
      <c r="AR138" s="37">
        <v>30963</v>
      </c>
      <c r="AS138" s="37">
        <v>16953</v>
      </c>
      <c r="AT138" s="37">
        <v>10214</v>
      </c>
      <c r="AU138" s="37">
        <v>78048</v>
      </c>
      <c r="AV138" s="37">
        <v>75333</v>
      </c>
      <c r="AW138" s="37">
        <v>22109</v>
      </c>
      <c r="AX138" s="37">
        <v>274</v>
      </c>
      <c r="AY138" s="37">
        <f>SUM(AN138:AX138)</f>
        <v>396264</v>
      </c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</row>
    <row r="139" spans="1:171" ht="15" customHeight="1" x14ac:dyDescent="0.35">
      <c r="A139" s="14" t="s">
        <v>224</v>
      </c>
      <c r="B139" s="24"/>
      <c r="C139" s="24" t="s">
        <v>225</v>
      </c>
      <c r="D139" s="37">
        <v>12279</v>
      </c>
      <c r="E139" s="37">
        <v>39174</v>
      </c>
      <c r="F139" s="37">
        <v>344</v>
      </c>
      <c r="G139" s="37">
        <v>1788</v>
      </c>
      <c r="H139" s="37">
        <v>3349</v>
      </c>
      <c r="I139" s="37">
        <v>3782</v>
      </c>
      <c r="J139" s="37">
        <v>18952</v>
      </c>
      <c r="K139" s="37">
        <v>2732</v>
      </c>
      <c r="L139" s="37">
        <v>7007</v>
      </c>
      <c r="M139" s="37">
        <v>9</v>
      </c>
      <c r="N139" s="37">
        <f t="shared" ref="N139:N156" si="110">SUM(D139:M139)</f>
        <v>89416</v>
      </c>
      <c r="O139" s="58"/>
      <c r="P139" s="37">
        <v>8998</v>
      </c>
      <c r="Q139" s="37">
        <v>27227</v>
      </c>
      <c r="R139" s="37">
        <v>3406</v>
      </c>
      <c r="S139" s="37">
        <v>0</v>
      </c>
      <c r="T139" s="37">
        <v>7184</v>
      </c>
      <c r="U139" s="37">
        <v>3790</v>
      </c>
      <c r="V139" s="37">
        <v>17444</v>
      </c>
      <c r="W139" s="37">
        <v>5443</v>
      </c>
      <c r="X139" s="37">
        <v>7209</v>
      </c>
      <c r="Y139" s="37">
        <v>9</v>
      </c>
      <c r="Z139" s="37">
        <f t="shared" ref="Z139:Z154" si="111">SUM(P139:Y139)</f>
        <v>80710</v>
      </c>
      <c r="AA139" s="59"/>
      <c r="AB139" s="37">
        <v>14448</v>
      </c>
      <c r="AC139" s="37">
        <v>38661</v>
      </c>
      <c r="AD139" s="37">
        <v>3904</v>
      </c>
      <c r="AE139" s="37">
        <v>1527</v>
      </c>
      <c r="AF139" s="37">
        <v>11051</v>
      </c>
      <c r="AG139" s="37">
        <v>7334</v>
      </c>
      <c r="AH139" s="37">
        <v>27069</v>
      </c>
      <c r="AI139" s="37">
        <v>28359</v>
      </c>
      <c r="AJ139" s="37">
        <v>7584</v>
      </c>
      <c r="AK139" s="37">
        <v>81</v>
      </c>
      <c r="AL139" s="37">
        <f t="shared" ref="AL139:AL154" si="112">SUM(AB139:AK139)</f>
        <v>140018</v>
      </c>
      <c r="AM139" s="60"/>
      <c r="AN139" s="37">
        <v>4717</v>
      </c>
      <c r="AO139" s="37">
        <v>12296</v>
      </c>
      <c r="AP139" s="37">
        <v>234</v>
      </c>
      <c r="AQ139" s="37">
        <v>309</v>
      </c>
      <c r="AR139" s="37">
        <v>3339</v>
      </c>
      <c r="AS139" s="37">
        <v>1899</v>
      </c>
      <c r="AT139" s="37">
        <v>1242</v>
      </c>
      <c r="AU139" s="37">
        <v>8751</v>
      </c>
      <c r="AV139" s="37">
        <v>7037</v>
      </c>
      <c r="AW139" s="37">
        <v>2435</v>
      </c>
      <c r="AX139" s="37">
        <v>27</v>
      </c>
      <c r="AY139" s="37">
        <f t="shared" ref="AY139:AY155" si="113">SUM(AN139:AX139)</f>
        <v>42286</v>
      </c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</row>
    <row r="140" spans="1:171" ht="15" customHeight="1" x14ac:dyDescent="0.35">
      <c r="A140" s="14" t="s">
        <v>226</v>
      </c>
      <c r="B140" s="24"/>
      <c r="C140" s="24" t="s">
        <v>227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f t="shared" si="110"/>
        <v>0</v>
      </c>
      <c r="O140" s="58"/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f t="shared" si="111"/>
        <v>0</v>
      </c>
      <c r="AA140" s="59"/>
      <c r="AB140" s="37"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37">
        <v>0</v>
      </c>
      <c r="AK140" s="37">
        <v>0</v>
      </c>
      <c r="AL140" s="37">
        <f t="shared" si="112"/>
        <v>0</v>
      </c>
      <c r="AM140" s="60"/>
      <c r="AN140" s="37">
        <v>64</v>
      </c>
      <c r="AO140" s="37">
        <v>171</v>
      </c>
      <c r="AP140" s="37">
        <v>6</v>
      </c>
      <c r="AQ140" s="37">
        <v>0</v>
      </c>
      <c r="AR140" s="37">
        <v>46</v>
      </c>
      <c r="AS140" s="37">
        <v>23</v>
      </c>
      <c r="AT140" s="37">
        <v>18</v>
      </c>
      <c r="AU140" s="37">
        <v>118</v>
      </c>
      <c r="AV140" s="37">
        <v>46</v>
      </c>
      <c r="AW140" s="37">
        <v>33</v>
      </c>
      <c r="AX140" s="37">
        <v>0</v>
      </c>
      <c r="AY140" s="37">
        <f t="shared" si="113"/>
        <v>525</v>
      </c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</row>
    <row r="141" spans="1:171" ht="15" customHeight="1" x14ac:dyDescent="0.35">
      <c r="A141" s="14" t="s">
        <v>228</v>
      </c>
      <c r="B141" s="24"/>
      <c r="C141" s="24" t="s">
        <v>229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f t="shared" si="110"/>
        <v>0</v>
      </c>
      <c r="O141" s="58"/>
      <c r="P141" s="37">
        <v>27934</v>
      </c>
      <c r="Q141" s="37">
        <v>84412</v>
      </c>
      <c r="R141" s="37">
        <v>10574</v>
      </c>
      <c r="S141" s="37">
        <v>0</v>
      </c>
      <c r="T141" s="37">
        <v>22303</v>
      </c>
      <c r="U141" s="37">
        <v>11768</v>
      </c>
      <c r="V141" s="37">
        <v>54158</v>
      </c>
      <c r="W141" s="37">
        <v>16898</v>
      </c>
      <c r="X141" s="37">
        <v>22381</v>
      </c>
      <c r="Y141" s="37">
        <v>28</v>
      </c>
      <c r="Z141" s="37">
        <f t="shared" si="111"/>
        <v>250456</v>
      </c>
      <c r="AA141" s="59"/>
      <c r="AB141" s="37">
        <v>39634</v>
      </c>
      <c r="AC141" s="37">
        <v>105950</v>
      </c>
      <c r="AD141" s="37">
        <v>10397</v>
      </c>
      <c r="AE141" s="37">
        <v>4230</v>
      </c>
      <c r="AF141" s="37">
        <v>30273</v>
      </c>
      <c r="AG141" s="37">
        <v>20370</v>
      </c>
      <c r="AH141" s="37">
        <v>74191</v>
      </c>
      <c r="AI141" s="37">
        <v>79908</v>
      </c>
      <c r="AJ141" s="37">
        <v>20442</v>
      </c>
      <c r="AK141" s="37">
        <v>235</v>
      </c>
      <c r="AL141" s="37">
        <f t="shared" si="112"/>
        <v>385630</v>
      </c>
      <c r="AM141" s="60"/>
      <c r="AN141" s="37">
        <v>20600</v>
      </c>
      <c r="AO141" s="37">
        <v>53975</v>
      </c>
      <c r="AP141" s="37">
        <v>1735</v>
      </c>
      <c r="AQ141" s="37">
        <v>1327</v>
      </c>
      <c r="AR141" s="37">
        <v>14806</v>
      </c>
      <c r="AS141" s="37">
        <v>8085</v>
      </c>
      <c r="AT141" s="37">
        <v>5153</v>
      </c>
      <c r="AU141" s="37">
        <v>38274</v>
      </c>
      <c r="AV141" s="37">
        <v>31901</v>
      </c>
      <c r="AW141" s="37">
        <v>10632</v>
      </c>
      <c r="AX141" s="37">
        <v>121</v>
      </c>
      <c r="AY141" s="37">
        <f t="shared" si="113"/>
        <v>186609</v>
      </c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</row>
    <row r="142" spans="1:171" ht="15" customHeight="1" x14ac:dyDescent="0.35">
      <c r="A142" s="14" t="s">
        <v>230</v>
      </c>
      <c r="B142" s="24"/>
      <c r="C142" s="24" t="s">
        <v>231</v>
      </c>
      <c r="D142" s="37">
        <v>11014</v>
      </c>
      <c r="E142" s="37">
        <v>34469</v>
      </c>
      <c r="F142" s="37">
        <v>79</v>
      </c>
      <c r="G142" s="37">
        <v>507</v>
      </c>
      <c r="H142" s="37">
        <v>3166</v>
      </c>
      <c r="I142" s="37">
        <v>3700</v>
      </c>
      <c r="J142" s="37">
        <v>18045</v>
      </c>
      <c r="K142" s="37">
        <v>942</v>
      </c>
      <c r="L142" s="37">
        <v>5606</v>
      </c>
      <c r="M142" s="37">
        <v>5</v>
      </c>
      <c r="N142" s="37">
        <f t="shared" si="110"/>
        <v>77533</v>
      </c>
      <c r="O142" s="58"/>
      <c r="P142" s="37">
        <v>10544</v>
      </c>
      <c r="Q142" s="37">
        <v>31907</v>
      </c>
      <c r="R142" s="37">
        <v>3991</v>
      </c>
      <c r="S142" s="37">
        <v>0</v>
      </c>
      <c r="T142" s="37">
        <v>8419</v>
      </c>
      <c r="U142" s="37">
        <v>4442</v>
      </c>
      <c r="V142" s="37">
        <v>20442</v>
      </c>
      <c r="W142" s="37">
        <v>6379</v>
      </c>
      <c r="X142" s="37">
        <v>8448</v>
      </c>
      <c r="Y142" s="37">
        <v>10</v>
      </c>
      <c r="Z142" s="37">
        <f t="shared" si="111"/>
        <v>94582</v>
      </c>
      <c r="AA142" s="59"/>
      <c r="AB142" s="37">
        <v>21252</v>
      </c>
      <c r="AC142" s="37">
        <v>56907</v>
      </c>
      <c r="AD142" s="37">
        <v>5840</v>
      </c>
      <c r="AE142" s="37">
        <v>2088</v>
      </c>
      <c r="AF142" s="37">
        <v>16299</v>
      </c>
      <c r="AG142" s="37">
        <v>10709</v>
      </c>
      <c r="AH142" s="37">
        <v>39905</v>
      </c>
      <c r="AI142" s="37">
        <v>40054</v>
      </c>
      <c r="AJ142" s="37">
        <v>9123</v>
      </c>
      <c r="AK142" s="37">
        <v>116</v>
      </c>
      <c r="AL142" s="37">
        <f t="shared" si="112"/>
        <v>202293</v>
      </c>
      <c r="AM142" s="60"/>
      <c r="AN142" s="37">
        <v>16819</v>
      </c>
      <c r="AO142" s="37">
        <v>44319</v>
      </c>
      <c r="AP142" s="37">
        <v>1317</v>
      </c>
      <c r="AQ142" s="37">
        <v>594</v>
      </c>
      <c r="AR142" s="37">
        <v>12037</v>
      </c>
      <c r="AS142" s="37">
        <v>6422</v>
      </c>
      <c r="AT142" s="37">
        <v>4514</v>
      </c>
      <c r="AU142" s="37">
        <v>31088</v>
      </c>
      <c r="AV142" s="37">
        <v>19321</v>
      </c>
      <c r="AW142" s="37">
        <v>8688</v>
      </c>
      <c r="AX142" s="37">
        <v>81</v>
      </c>
      <c r="AY142" s="37">
        <f t="shared" si="113"/>
        <v>145200</v>
      </c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</row>
    <row r="143" spans="1:171" ht="15" customHeight="1" x14ac:dyDescent="0.35">
      <c r="A143" s="14" t="s">
        <v>232</v>
      </c>
      <c r="B143" s="24"/>
      <c r="C143" s="24" t="s">
        <v>233</v>
      </c>
      <c r="D143" s="37">
        <v>11325</v>
      </c>
      <c r="E143" s="37">
        <v>35921</v>
      </c>
      <c r="F143" s="37">
        <v>226</v>
      </c>
      <c r="G143" s="37">
        <v>1217</v>
      </c>
      <c r="H143" s="37">
        <v>3152</v>
      </c>
      <c r="I143" s="37">
        <v>3611</v>
      </c>
      <c r="J143" s="37">
        <v>17889</v>
      </c>
      <c r="K143" s="37">
        <v>1825</v>
      </c>
      <c r="L143" s="37">
        <v>6214</v>
      </c>
      <c r="M143" s="37">
        <v>6</v>
      </c>
      <c r="N143" s="37">
        <f t="shared" si="110"/>
        <v>81386</v>
      </c>
      <c r="O143" s="58"/>
      <c r="P143" s="37">
        <v>7038</v>
      </c>
      <c r="Q143" s="37">
        <v>21297</v>
      </c>
      <c r="R143" s="37">
        <v>2664</v>
      </c>
      <c r="S143" s="37">
        <v>0</v>
      </c>
      <c r="T143" s="37">
        <v>5619</v>
      </c>
      <c r="U143" s="37">
        <v>2965</v>
      </c>
      <c r="V143" s="37">
        <v>13645</v>
      </c>
      <c r="W143" s="37">
        <v>4258</v>
      </c>
      <c r="X143" s="37">
        <v>5639</v>
      </c>
      <c r="Y143" s="37">
        <v>7</v>
      </c>
      <c r="Z143" s="37">
        <f t="shared" si="111"/>
        <v>63132</v>
      </c>
      <c r="AA143" s="59"/>
      <c r="AB143" s="37">
        <v>4531</v>
      </c>
      <c r="AC143" s="37">
        <v>12140</v>
      </c>
      <c r="AD143" s="37">
        <v>1299</v>
      </c>
      <c r="AE143" s="37">
        <v>681</v>
      </c>
      <c r="AF143" s="37">
        <v>3436</v>
      </c>
      <c r="AG143" s="37">
        <v>2235</v>
      </c>
      <c r="AH143" s="37">
        <v>8407</v>
      </c>
      <c r="AI143" s="37">
        <v>9832</v>
      </c>
      <c r="AJ143" s="37">
        <v>2571</v>
      </c>
      <c r="AK143" s="37">
        <v>23</v>
      </c>
      <c r="AL143" s="37">
        <f t="shared" si="112"/>
        <v>45155</v>
      </c>
      <c r="AM143" s="60"/>
      <c r="AN143" s="37">
        <v>597</v>
      </c>
      <c r="AO143" s="37">
        <v>1527</v>
      </c>
      <c r="AP143" s="37">
        <v>-42</v>
      </c>
      <c r="AQ143" s="37">
        <v>48</v>
      </c>
      <c r="AR143" s="37">
        <v>402</v>
      </c>
      <c r="AS143" s="37">
        <v>264</v>
      </c>
      <c r="AT143" s="37">
        <v>181</v>
      </c>
      <c r="AU143" s="37">
        <v>1105</v>
      </c>
      <c r="AV143" s="37">
        <v>860</v>
      </c>
      <c r="AW143" s="37">
        <v>308</v>
      </c>
      <c r="AX143" s="37">
        <v>3</v>
      </c>
      <c r="AY143" s="37">
        <f t="shared" si="113"/>
        <v>5253</v>
      </c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</row>
    <row r="144" spans="1:171" ht="15" customHeight="1" x14ac:dyDescent="0.35">
      <c r="A144" s="14" t="s">
        <v>234</v>
      </c>
      <c r="B144" s="24"/>
      <c r="C144" s="24" t="s">
        <v>235</v>
      </c>
      <c r="D144" s="37">
        <v>3521</v>
      </c>
      <c r="E144" s="37">
        <v>11372</v>
      </c>
      <c r="F144" s="37">
        <v>119</v>
      </c>
      <c r="G144" s="37">
        <v>613</v>
      </c>
      <c r="H144" s="37">
        <v>953</v>
      </c>
      <c r="I144" s="37">
        <v>1077</v>
      </c>
      <c r="J144" s="37">
        <v>5367</v>
      </c>
      <c r="K144" s="37">
        <v>938</v>
      </c>
      <c r="L144" s="37">
        <v>2095</v>
      </c>
      <c r="M144" s="37">
        <v>3</v>
      </c>
      <c r="N144" s="37">
        <f t="shared" si="110"/>
        <v>26058</v>
      </c>
      <c r="O144" s="58"/>
      <c r="P144" s="37">
        <v>2527</v>
      </c>
      <c r="Q144" s="37">
        <v>7647</v>
      </c>
      <c r="R144" s="37">
        <v>957</v>
      </c>
      <c r="S144" s="37">
        <v>0</v>
      </c>
      <c r="T144" s="37">
        <v>2018</v>
      </c>
      <c r="U144" s="37">
        <v>1065</v>
      </c>
      <c r="V144" s="37">
        <v>4899</v>
      </c>
      <c r="W144" s="37">
        <v>1529</v>
      </c>
      <c r="X144" s="37">
        <v>2025</v>
      </c>
      <c r="Y144" s="37">
        <v>3</v>
      </c>
      <c r="Z144" s="37">
        <f t="shared" si="111"/>
        <v>22670</v>
      </c>
      <c r="AA144" s="59"/>
      <c r="AB144" s="37">
        <v>2094</v>
      </c>
      <c r="AC144" s="37">
        <v>5608</v>
      </c>
      <c r="AD144" s="37">
        <v>590</v>
      </c>
      <c r="AE144" s="37">
        <v>279</v>
      </c>
      <c r="AF144" s="37">
        <v>1593</v>
      </c>
      <c r="AG144" s="37">
        <v>1040</v>
      </c>
      <c r="AH144" s="37">
        <v>3900</v>
      </c>
      <c r="AI144" s="37">
        <v>4356</v>
      </c>
      <c r="AJ144" s="37">
        <v>1211</v>
      </c>
      <c r="AK144" s="37">
        <v>10</v>
      </c>
      <c r="AL144" s="37">
        <f t="shared" si="112"/>
        <v>20681</v>
      </c>
      <c r="AM144" s="60"/>
      <c r="AN144" s="37">
        <v>-146</v>
      </c>
      <c r="AO144" s="37">
        <v>-414</v>
      </c>
      <c r="AP144" s="37">
        <v>-75</v>
      </c>
      <c r="AQ144" s="37">
        <v>7</v>
      </c>
      <c r="AR144" s="37">
        <v>-124</v>
      </c>
      <c r="AS144" s="37">
        <v>-32</v>
      </c>
      <c r="AT144" s="37">
        <v>-20</v>
      </c>
      <c r="AU144" s="37">
        <v>-270</v>
      </c>
      <c r="AV144" s="37">
        <v>-140</v>
      </c>
      <c r="AW144" s="37">
        <v>-75</v>
      </c>
      <c r="AX144" s="37">
        <v>0</v>
      </c>
      <c r="AY144" s="37">
        <f t="shared" si="113"/>
        <v>-1289</v>
      </c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</row>
    <row r="145" spans="1:171" ht="15" customHeight="1" x14ac:dyDescent="0.35">
      <c r="A145" s="14" t="s">
        <v>236</v>
      </c>
      <c r="B145" s="24"/>
      <c r="C145" s="24" t="s">
        <v>237</v>
      </c>
      <c r="D145" s="37">
        <v>1711</v>
      </c>
      <c r="E145" s="37">
        <v>5630</v>
      </c>
      <c r="F145" s="37">
        <v>71</v>
      </c>
      <c r="G145" s="37">
        <v>359</v>
      </c>
      <c r="H145" s="37">
        <v>451</v>
      </c>
      <c r="I145" s="37">
        <v>500</v>
      </c>
      <c r="J145" s="37">
        <v>2534</v>
      </c>
      <c r="K145" s="37">
        <v>567</v>
      </c>
      <c r="L145" s="37">
        <v>1045</v>
      </c>
      <c r="M145" s="37">
        <v>2</v>
      </c>
      <c r="N145" s="37">
        <f t="shared" si="110"/>
        <v>12870</v>
      </c>
      <c r="O145" s="58"/>
      <c r="P145" s="37">
        <v>847</v>
      </c>
      <c r="Q145" s="37">
        <v>2563</v>
      </c>
      <c r="R145" s="37">
        <v>321</v>
      </c>
      <c r="S145" s="37">
        <v>0</v>
      </c>
      <c r="T145" s="37">
        <v>676</v>
      </c>
      <c r="U145" s="37">
        <v>357</v>
      </c>
      <c r="V145" s="37">
        <v>1642</v>
      </c>
      <c r="W145" s="37">
        <v>512</v>
      </c>
      <c r="X145" s="37">
        <v>679</v>
      </c>
      <c r="Y145" s="37">
        <v>1</v>
      </c>
      <c r="Z145" s="37">
        <f t="shared" si="111"/>
        <v>7598</v>
      </c>
      <c r="AA145" s="59"/>
      <c r="AB145" s="37">
        <v>557</v>
      </c>
      <c r="AC145" s="37">
        <v>1491</v>
      </c>
      <c r="AD145" s="37">
        <v>153</v>
      </c>
      <c r="AE145" s="37">
        <v>84</v>
      </c>
      <c r="AF145" s="37">
        <v>422</v>
      </c>
      <c r="AG145" s="37">
        <v>280</v>
      </c>
      <c r="AH145" s="37">
        <v>1033</v>
      </c>
      <c r="AI145" s="37">
        <v>1248</v>
      </c>
      <c r="AJ145" s="37">
        <v>355</v>
      </c>
      <c r="AK145" s="37">
        <v>3</v>
      </c>
      <c r="AL145" s="37">
        <f t="shared" si="112"/>
        <v>5626</v>
      </c>
      <c r="AM145" s="60"/>
      <c r="AN145" s="37">
        <v>113</v>
      </c>
      <c r="AO145" s="37">
        <v>292</v>
      </c>
      <c r="AP145" s="37">
        <v>-1</v>
      </c>
      <c r="AQ145" s="37">
        <v>10</v>
      </c>
      <c r="AR145" s="37">
        <v>79</v>
      </c>
      <c r="AS145" s="37">
        <v>48</v>
      </c>
      <c r="AT145" s="37">
        <v>31</v>
      </c>
      <c r="AU145" s="37">
        <v>209</v>
      </c>
      <c r="AV145" s="37">
        <v>185</v>
      </c>
      <c r="AW145" s="37">
        <v>58</v>
      </c>
      <c r="AX145" s="37">
        <v>0</v>
      </c>
      <c r="AY145" s="37">
        <f t="shared" si="113"/>
        <v>1024</v>
      </c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</row>
    <row r="146" spans="1:171" ht="15" customHeight="1" x14ac:dyDescent="0.35">
      <c r="A146" s="14" t="s">
        <v>238</v>
      </c>
      <c r="B146" s="24"/>
      <c r="C146" s="24" t="s">
        <v>239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f t="shared" si="110"/>
        <v>0</v>
      </c>
      <c r="O146" s="58"/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  <c r="X146" s="37">
        <v>0</v>
      </c>
      <c r="Y146" s="37">
        <v>0</v>
      </c>
      <c r="Z146" s="37">
        <f t="shared" si="111"/>
        <v>0</v>
      </c>
      <c r="AA146" s="59"/>
      <c r="AB146" s="37">
        <v>0</v>
      </c>
      <c r="AC146" s="37">
        <v>0</v>
      </c>
      <c r="AD146" s="37">
        <v>0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  <c r="AJ146" s="37">
        <v>0</v>
      </c>
      <c r="AK146" s="37">
        <v>0</v>
      </c>
      <c r="AL146" s="37">
        <f t="shared" si="112"/>
        <v>0</v>
      </c>
      <c r="AM146" s="60"/>
      <c r="AN146" s="37">
        <v>0</v>
      </c>
      <c r="AO146" s="37">
        <v>0</v>
      </c>
      <c r="AP146" s="37">
        <v>0</v>
      </c>
      <c r="AQ146" s="37">
        <v>0</v>
      </c>
      <c r="AR146" s="37">
        <v>0</v>
      </c>
      <c r="AS146" s="37">
        <v>0</v>
      </c>
      <c r="AT146" s="37">
        <v>0</v>
      </c>
      <c r="AU146" s="37">
        <v>0</v>
      </c>
      <c r="AV146" s="37">
        <v>0</v>
      </c>
      <c r="AW146" s="37">
        <v>0</v>
      </c>
      <c r="AX146" s="37">
        <v>0</v>
      </c>
      <c r="AY146" s="37">
        <f t="shared" si="113"/>
        <v>0</v>
      </c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</row>
    <row r="147" spans="1:171" ht="15" customHeight="1" x14ac:dyDescent="0.35">
      <c r="A147" s="14" t="s">
        <v>240</v>
      </c>
      <c r="B147" s="24"/>
      <c r="C147" s="24" t="s">
        <v>241</v>
      </c>
      <c r="D147" s="37">
        <v>735</v>
      </c>
      <c r="E147" s="37">
        <v>2191</v>
      </c>
      <c r="F147" s="37">
        <v>1</v>
      </c>
      <c r="G147" s="37">
        <v>8</v>
      </c>
      <c r="H147" s="37">
        <v>206</v>
      </c>
      <c r="I147" s="37">
        <v>225</v>
      </c>
      <c r="J147" s="37">
        <v>1192</v>
      </c>
      <c r="K147" s="37">
        <v>11</v>
      </c>
      <c r="L147" s="37">
        <v>325</v>
      </c>
      <c r="M147" s="37">
        <v>0</v>
      </c>
      <c r="N147" s="37">
        <f t="shared" si="110"/>
        <v>4894</v>
      </c>
      <c r="O147" s="58"/>
      <c r="P147" s="37">
        <v>1951</v>
      </c>
      <c r="Q147" s="37">
        <v>5905</v>
      </c>
      <c r="R147" s="37">
        <v>739</v>
      </c>
      <c r="S147" s="37">
        <v>0</v>
      </c>
      <c r="T147" s="37">
        <v>1558</v>
      </c>
      <c r="U147" s="37">
        <v>822</v>
      </c>
      <c r="V147" s="37">
        <v>3783</v>
      </c>
      <c r="W147" s="37">
        <v>1180</v>
      </c>
      <c r="X147" s="37">
        <v>1563</v>
      </c>
      <c r="Y147" s="37">
        <v>2</v>
      </c>
      <c r="Z147" s="37">
        <f t="shared" si="111"/>
        <v>17503</v>
      </c>
      <c r="AA147" s="59"/>
      <c r="AB147" s="37">
        <v>932</v>
      </c>
      <c r="AC147" s="37">
        <v>2523</v>
      </c>
      <c r="AD147" s="37">
        <v>345</v>
      </c>
      <c r="AE147" s="37">
        <v>150</v>
      </c>
      <c r="AF147" s="37">
        <v>714</v>
      </c>
      <c r="AG147" s="37">
        <v>396</v>
      </c>
      <c r="AH147" s="37">
        <v>1738</v>
      </c>
      <c r="AI147" s="37">
        <v>1630</v>
      </c>
      <c r="AJ147" s="37">
        <v>769</v>
      </c>
      <c r="AK147" s="37">
        <v>2</v>
      </c>
      <c r="AL147" s="37">
        <f t="shared" si="112"/>
        <v>9199</v>
      </c>
      <c r="AM147" s="60"/>
      <c r="AN147" s="37">
        <v>1246</v>
      </c>
      <c r="AO147" s="37">
        <v>3293</v>
      </c>
      <c r="AP147" s="37">
        <v>202</v>
      </c>
      <c r="AQ147" s="37">
        <v>94</v>
      </c>
      <c r="AR147" s="37">
        <v>927</v>
      </c>
      <c r="AS147" s="37">
        <v>468</v>
      </c>
      <c r="AT147" s="37">
        <v>265</v>
      </c>
      <c r="AU147" s="37">
        <v>2328</v>
      </c>
      <c r="AV147" s="37">
        <v>2308</v>
      </c>
      <c r="AW147" s="37">
        <v>642</v>
      </c>
      <c r="AX147" s="37">
        <v>8</v>
      </c>
      <c r="AY147" s="37">
        <f t="shared" si="113"/>
        <v>11781</v>
      </c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</row>
    <row r="148" spans="1:171" ht="15" customHeight="1" x14ac:dyDescent="0.35">
      <c r="A148" s="14" t="s">
        <v>242</v>
      </c>
      <c r="B148" s="24"/>
      <c r="C148" s="24" t="s">
        <v>243</v>
      </c>
      <c r="D148" s="37">
        <v>763</v>
      </c>
      <c r="E148" s="37">
        <v>2382</v>
      </c>
      <c r="F148" s="37">
        <v>7</v>
      </c>
      <c r="G148" s="37">
        <v>49</v>
      </c>
      <c r="H148" s="37">
        <v>223</v>
      </c>
      <c r="I148" s="37">
        <v>274</v>
      </c>
      <c r="J148" s="37">
        <v>1261</v>
      </c>
      <c r="K148" s="37">
        <v>67</v>
      </c>
      <c r="L148" s="37">
        <v>427</v>
      </c>
      <c r="M148" s="37">
        <v>0</v>
      </c>
      <c r="N148" s="37">
        <f t="shared" si="110"/>
        <v>5453</v>
      </c>
      <c r="O148" s="58"/>
      <c r="P148" s="37">
        <v>-114</v>
      </c>
      <c r="Q148" s="37">
        <v>-346</v>
      </c>
      <c r="R148" s="37">
        <v>-43</v>
      </c>
      <c r="S148" s="37">
        <v>0</v>
      </c>
      <c r="T148" s="37">
        <v>-91</v>
      </c>
      <c r="U148" s="37">
        <v>-48</v>
      </c>
      <c r="V148" s="37">
        <v>-222</v>
      </c>
      <c r="W148" s="37">
        <v>-69</v>
      </c>
      <c r="X148" s="37">
        <v>-92</v>
      </c>
      <c r="Y148" s="37">
        <v>0</v>
      </c>
      <c r="Z148" s="37">
        <f t="shared" si="111"/>
        <v>-1025</v>
      </c>
      <c r="AA148" s="59"/>
      <c r="AB148" s="37">
        <v>103</v>
      </c>
      <c r="AC148" s="37">
        <v>278</v>
      </c>
      <c r="AD148" s="37">
        <v>29</v>
      </c>
      <c r="AE148" s="37">
        <v>1</v>
      </c>
      <c r="AF148" s="37">
        <v>81</v>
      </c>
      <c r="AG148" s="37">
        <v>52</v>
      </c>
      <c r="AH148" s="37">
        <v>198</v>
      </c>
      <c r="AI148" s="37">
        <v>128</v>
      </c>
      <c r="AJ148" s="37">
        <v>20</v>
      </c>
      <c r="AK148" s="37">
        <v>0</v>
      </c>
      <c r="AL148" s="37">
        <f t="shared" si="112"/>
        <v>890</v>
      </c>
      <c r="AM148" s="60"/>
      <c r="AN148" s="37">
        <v>153</v>
      </c>
      <c r="AO148" s="37">
        <v>408</v>
      </c>
      <c r="AP148" s="37">
        <v>18</v>
      </c>
      <c r="AQ148" s="37">
        <v>6</v>
      </c>
      <c r="AR148" s="37">
        <v>112</v>
      </c>
      <c r="AS148" s="37">
        <v>57</v>
      </c>
      <c r="AT148" s="37">
        <v>39</v>
      </c>
      <c r="AU148" s="37">
        <v>285</v>
      </c>
      <c r="AV148" s="37">
        <v>191</v>
      </c>
      <c r="AW148" s="37">
        <v>79</v>
      </c>
      <c r="AX148" s="37">
        <v>1</v>
      </c>
      <c r="AY148" s="37">
        <f t="shared" si="113"/>
        <v>1349</v>
      </c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</row>
    <row r="149" spans="1:171" ht="15" customHeight="1" x14ac:dyDescent="0.35">
      <c r="A149" s="14" t="s">
        <v>244</v>
      </c>
      <c r="B149" s="24"/>
      <c r="C149" s="24" t="s">
        <v>245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7">
        <v>0</v>
      </c>
      <c r="M149" s="37">
        <v>0</v>
      </c>
      <c r="N149" s="37">
        <f t="shared" si="110"/>
        <v>0</v>
      </c>
      <c r="O149" s="58"/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v>0</v>
      </c>
      <c r="Y149" s="37">
        <v>0</v>
      </c>
      <c r="Z149" s="37">
        <f t="shared" si="111"/>
        <v>0</v>
      </c>
      <c r="AA149" s="59"/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f t="shared" si="112"/>
        <v>0</v>
      </c>
      <c r="AM149" s="60"/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37">
        <v>0</v>
      </c>
      <c r="AT149" s="37">
        <v>0</v>
      </c>
      <c r="AU149" s="37">
        <v>0</v>
      </c>
      <c r="AV149" s="37">
        <v>0</v>
      </c>
      <c r="AW149" s="37">
        <v>0</v>
      </c>
      <c r="AX149" s="37">
        <v>0</v>
      </c>
      <c r="AY149" s="37">
        <f t="shared" si="113"/>
        <v>0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</row>
    <row r="150" spans="1:171" ht="15" customHeight="1" x14ac:dyDescent="0.35">
      <c r="A150" s="14" t="s">
        <v>246</v>
      </c>
      <c r="B150" s="24"/>
      <c r="C150" s="24" t="s">
        <v>247</v>
      </c>
      <c r="D150" s="37">
        <v>0</v>
      </c>
      <c r="E150" s="37">
        <v>2847</v>
      </c>
      <c r="F150" s="37">
        <v>0</v>
      </c>
      <c r="G150" s="37">
        <v>0</v>
      </c>
      <c r="H150" s="37">
        <v>1</v>
      </c>
      <c r="I150" s="37">
        <v>0</v>
      </c>
      <c r="J150" s="37">
        <v>18</v>
      </c>
      <c r="K150" s="37">
        <v>0</v>
      </c>
      <c r="L150" s="37">
        <v>0</v>
      </c>
      <c r="M150" s="37">
        <v>0</v>
      </c>
      <c r="N150" s="37">
        <f t="shared" si="110"/>
        <v>2866</v>
      </c>
      <c r="O150" s="58"/>
      <c r="P150" s="37">
        <v>0</v>
      </c>
      <c r="Q150" s="37">
        <v>597</v>
      </c>
      <c r="R150" s="37">
        <v>0</v>
      </c>
      <c r="S150" s="37">
        <v>0</v>
      </c>
      <c r="T150" s="37">
        <v>0</v>
      </c>
      <c r="U150" s="37">
        <v>0</v>
      </c>
      <c r="V150" s="37">
        <v>41</v>
      </c>
      <c r="W150" s="37">
        <v>0</v>
      </c>
      <c r="X150" s="37">
        <v>0</v>
      </c>
      <c r="Y150" s="37">
        <v>0</v>
      </c>
      <c r="Z150" s="37">
        <f t="shared" si="111"/>
        <v>638</v>
      </c>
      <c r="AA150" s="59"/>
      <c r="AB150" s="37">
        <v>0</v>
      </c>
      <c r="AC150" s="37">
        <v>9661</v>
      </c>
      <c r="AD150" s="37">
        <v>0</v>
      </c>
      <c r="AE150" s="37">
        <v>0</v>
      </c>
      <c r="AF150" s="37">
        <v>25</v>
      </c>
      <c r="AG150" s="37">
        <v>0</v>
      </c>
      <c r="AH150" s="37">
        <v>784</v>
      </c>
      <c r="AI150" s="37">
        <v>0</v>
      </c>
      <c r="AJ150" s="37">
        <v>0</v>
      </c>
      <c r="AK150" s="37">
        <v>0</v>
      </c>
      <c r="AL150" s="37">
        <f t="shared" si="112"/>
        <v>10470</v>
      </c>
      <c r="AM150" s="60"/>
      <c r="AN150" s="37">
        <v>0</v>
      </c>
      <c r="AO150" s="37">
        <v>10319</v>
      </c>
      <c r="AP150" s="37">
        <v>0</v>
      </c>
      <c r="AQ150" s="37">
        <v>0</v>
      </c>
      <c r="AR150" s="37">
        <v>36</v>
      </c>
      <c r="AS150" s="37">
        <v>0</v>
      </c>
      <c r="AT150" s="37">
        <v>0</v>
      </c>
      <c r="AU150" s="37">
        <v>893</v>
      </c>
      <c r="AV150" s="37">
        <v>0</v>
      </c>
      <c r="AW150" s="37">
        <v>0</v>
      </c>
      <c r="AX150" s="37">
        <v>0</v>
      </c>
      <c r="AY150" s="37">
        <f t="shared" si="113"/>
        <v>11248</v>
      </c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</row>
    <row r="151" spans="1:171" ht="15" customHeight="1" x14ac:dyDescent="0.35">
      <c r="A151" s="14" t="s">
        <v>248</v>
      </c>
      <c r="B151" s="24"/>
      <c r="C151" s="24" t="s">
        <v>249</v>
      </c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58"/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37">
        <f t="shared" si="111"/>
        <v>0</v>
      </c>
      <c r="AA151" s="59"/>
      <c r="AB151" s="45">
        <v>0</v>
      </c>
      <c r="AC151" s="45">
        <v>0</v>
      </c>
      <c r="AD151" s="45">
        <v>0</v>
      </c>
      <c r="AE151" s="45">
        <v>0</v>
      </c>
      <c r="AF151" s="45">
        <v>0</v>
      </c>
      <c r="AG151" s="45">
        <v>0</v>
      </c>
      <c r="AH151" s="45">
        <v>0</v>
      </c>
      <c r="AI151" s="45">
        <v>0</v>
      </c>
      <c r="AJ151" s="45">
        <v>0</v>
      </c>
      <c r="AK151" s="45">
        <v>0</v>
      </c>
      <c r="AL151" s="37">
        <f t="shared" si="112"/>
        <v>0</v>
      </c>
      <c r="AM151" s="60"/>
      <c r="AN151" s="45">
        <v>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5">
        <v>0</v>
      </c>
      <c r="AU151" s="45">
        <v>0</v>
      </c>
      <c r="AV151" s="45">
        <v>0</v>
      </c>
      <c r="AW151" s="45">
        <v>0</v>
      </c>
      <c r="AX151" s="45">
        <v>0</v>
      </c>
      <c r="AY151" s="37">
        <f t="shared" si="113"/>
        <v>0</v>
      </c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</row>
    <row r="152" spans="1:171" ht="15" customHeight="1" x14ac:dyDescent="0.35">
      <c r="A152" s="14" t="s">
        <v>250</v>
      </c>
      <c r="B152" s="24"/>
      <c r="C152" s="24" t="s">
        <v>251</v>
      </c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58"/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37">
        <f t="shared" si="111"/>
        <v>0</v>
      </c>
      <c r="AA152" s="59"/>
      <c r="AB152" s="45">
        <v>0</v>
      </c>
      <c r="AC152" s="45">
        <v>0</v>
      </c>
      <c r="AD152" s="45">
        <v>0</v>
      </c>
      <c r="AE152" s="45">
        <v>0</v>
      </c>
      <c r="AF152" s="45">
        <v>0</v>
      </c>
      <c r="AG152" s="45">
        <v>0</v>
      </c>
      <c r="AH152" s="45">
        <v>0</v>
      </c>
      <c r="AI152" s="45">
        <v>0</v>
      </c>
      <c r="AJ152" s="45">
        <v>0</v>
      </c>
      <c r="AK152" s="45">
        <v>0</v>
      </c>
      <c r="AL152" s="37">
        <f t="shared" si="112"/>
        <v>0</v>
      </c>
      <c r="AM152" s="60"/>
      <c r="AN152" s="45">
        <v>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5">
        <v>0</v>
      </c>
      <c r="AU152" s="45">
        <v>0</v>
      </c>
      <c r="AV152" s="45">
        <v>0</v>
      </c>
      <c r="AW152" s="45">
        <v>0</v>
      </c>
      <c r="AX152" s="45">
        <v>0</v>
      </c>
      <c r="AY152" s="37">
        <f t="shared" si="113"/>
        <v>0</v>
      </c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</row>
    <row r="153" spans="1:171" ht="15" customHeight="1" x14ac:dyDescent="0.35">
      <c r="A153" s="14" t="s">
        <v>252</v>
      </c>
      <c r="B153" s="24"/>
      <c r="C153" s="24" t="s">
        <v>253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58"/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37">
        <f t="shared" si="111"/>
        <v>0</v>
      </c>
      <c r="AA153" s="59"/>
      <c r="AB153" s="45">
        <v>0</v>
      </c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5">
        <v>0</v>
      </c>
      <c r="AI153" s="45">
        <v>0</v>
      </c>
      <c r="AJ153" s="45">
        <v>0</v>
      </c>
      <c r="AK153" s="45">
        <v>0</v>
      </c>
      <c r="AL153" s="37">
        <f t="shared" si="112"/>
        <v>0</v>
      </c>
      <c r="AM153" s="60"/>
      <c r="AN153" s="45">
        <v>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5">
        <v>0</v>
      </c>
      <c r="AU153" s="45">
        <v>0</v>
      </c>
      <c r="AV153" s="45">
        <v>0</v>
      </c>
      <c r="AW153" s="45">
        <v>0</v>
      </c>
      <c r="AX153" s="45">
        <v>0</v>
      </c>
      <c r="AY153" s="37">
        <f t="shared" si="113"/>
        <v>0</v>
      </c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</row>
    <row r="154" spans="1:171" ht="15" customHeight="1" x14ac:dyDescent="0.35">
      <c r="A154" s="14" t="s">
        <v>254</v>
      </c>
      <c r="B154" s="24"/>
      <c r="C154" s="24" t="s">
        <v>255</v>
      </c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58"/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47">
        <v>0</v>
      </c>
      <c r="X154" s="47">
        <v>0</v>
      </c>
      <c r="Y154" s="47">
        <v>0</v>
      </c>
      <c r="Z154" s="37">
        <f t="shared" si="111"/>
        <v>0</v>
      </c>
      <c r="AA154" s="59"/>
      <c r="AB154" s="45">
        <v>13556</v>
      </c>
      <c r="AC154" s="45">
        <v>36282</v>
      </c>
      <c r="AD154" s="45">
        <v>3699</v>
      </c>
      <c r="AE154" s="45">
        <v>1617</v>
      </c>
      <c r="AF154" s="45">
        <v>10340</v>
      </c>
      <c r="AG154" s="45">
        <v>6849</v>
      </c>
      <c r="AH154" s="45">
        <v>25322</v>
      </c>
      <c r="AI154" s="45">
        <v>27658</v>
      </c>
      <c r="AJ154" s="45">
        <v>7030</v>
      </c>
      <c r="AK154" s="45">
        <v>76</v>
      </c>
      <c r="AL154" s="37">
        <f t="shared" si="112"/>
        <v>132429</v>
      </c>
      <c r="AM154" s="60"/>
      <c r="AN154" s="45">
        <v>5990</v>
      </c>
      <c r="AO154" s="45">
        <v>15667</v>
      </c>
      <c r="AP154" s="45">
        <v>514</v>
      </c>
      <c r="AQ154" s="45">
        <v>436</v>
      </c>
      <c r="AR154" s="45">
        <v>4309</v>
      </c>
      <c r="AS154" s="45">
        <v>2369</v>
      </c>
      <c r="AT154" s="45">
        <v>1467</v>
      </c>
      <c r="AU154" s="45">
        <v>11145</v>
      </c>
      <c r="AV154" s="45">
        <v>9968</v>
      </c>
      <c r="AW154" s="45">
        <v>3091</v>
      </c>
      <c r="AX154" s="45">
        <v>37</v>
      </c>
      <c r="AY154" s="37">
        <f t="shared" si="113"/>
        <v>54993</v>
      </c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</row>
    <row r="155" spans="1:171" ht="15" customHeight="1" x14ac:dyDescent="0.35">
      <c r="A155" s="14" t="s">
        <v>256</v>
      </c>
      <c r="B155" s="24"/>
      <c r="C155" s="24" t="s">
        <v>257</v>
      </c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5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59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60"/>
      <c r="AN155" s="45">
        <v>1253</v>
      </c>
      <c r="AO155" s="45">
        <v>153</v>
      </c>
      <c r="AP155" s="45">
        <v>0</v>
      </c>
      <c r="AQ155" s="45">
        <v>0</v>
      </c>
      <c r="AR155" s="45">
        <v>0</v>
      </c>
      <c r="AS155" s="45">
        <v>0</v>
      </c>
      <c r="AT155" s="45">
        <v>0</v>
      </c>
      <c r="AU155" s="45">
        <v>1865</v>
      </c>
      <c r="AV155" s="45">
        <v>0</v>
      </c>
      <c r="AW155" s="45">
        <v>0</v>
      </c>
      <c r="AX155" s="45">
        <v>0</v>
      </c>
      <c r="AY155" s="37">
        <f t="shared" si="113"/>
        <v>3271</v>
      </c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</row>
    <row r="156" spans="1:171" ht="15" customHeight="1" x14ac:dyDescent="0.35">
      <c r="A156" s="14" t="s">
        <v>258</v>
      </c>
      <c r="B156" s="24"/>
      <c r="C156" s="24" t="s">
        <v>259</v>
      </c>
      <c r="D156" s="37">
        <v>6235</v>
      </c>
      <c r="E156" s="37">
        <v>19301</v>
      </c>
      <c r="F156" s="37">
        <v>207</v>
      </c>
      <c r="G156" s="37">
        <v>1070</v>
      </c>
      <c r="H156" s="37">
        <v>1681</v>
      </c>
      <c r="I156" s="37">
        <v>1885</v>
      </c>
      <c r="J156" s="37">
        <v>9411</v>
      </c>
      <c r="K156" s="37">
        <v>1534</v>
      </c>
      <c r="L156" s="37">
        <v>3658</v>
      </c>
      <c r="M156" s="37">
        <v>4</v>
      </c>
      <c r="N156" s="37">
        <f t="shared" si="110"/>
        <v>44986</v>
      </c>
      <c r="O156" s="58"/>
      <c r="P156" s="37">
        <v>7173</v>
      </c>
      <c r="Q156" s="37">
        <v>21708</v>
      </c>
      <c r="R156" s="37">
        <v>2716</v>
      </c>
      <c r="S156" s="37">
        <v>0</v>
      </c>
      <c r="T156" s="37">
        <v>5787</v>
      </c>
      <c r="U156" s="37">
        <v>3022</v>
      </c>
      <c r="V156" s="37">
        <v>13906</v>
      </c>
      <c r="W156" s="37">
        <v>4340</v>
      </c>
      <c r="X156" s="37">
        <v>5747</v>
      </c>
      <c r="Y156" s="37">
        <v>7</v>
      </c>
      <c r="Z156" s="37">
        <f>SUM(P156:Y156)</f>
        <v>64406</v>
      </c>
      <c r="AA156" s="59"/>
      <c r="AB156" s="37">
        <v>4219</v>
      </c>
      <c r="AC156" s="37">
        <v>11387</v>
      </c>
      <c r="AD156" s="37">
        <v>1179</v>
      </c>
      <c r="AE156" s="37">
        <v>672</v>
      </c>
      <c r="AF156" s="37">
        <v>3190</v>
      </c>
      <c r="AG156" s="37">
        <v>2105</v>
      </c>
      <c r="AH156" s="37">
        <v>7993</v>
      </c>
      <c r="AI156" s="37">
        <v>9588</v>
      </c>
      <c r="AJ156" s="37">
        <v>2524</v>
      </c>
      <c r="AK156" s="37">
        <v>22</v>
      </c>
      <c r="AL156" s="37">
        <f>SUM(AB156:AK156)</f>
        <v>42879</v>
      </c>
      <c r="AM156" s="60"/>
      <c r="AN156" s="37">
        <v>0</v>
      </c>
      <c r="AO156" s="37">
        <v>0</v>
      </c>
      <c r="AP156" s="37">
        <v>0</v>
      </c>
      <c r="AQ156" s="37">
        <v>0</v>
      </c>
      <c r="AR156" s="37">
        <v>0</v>
      </c>
      <c r="AS156" s="37">
        <v>0</v>
      </c>
      <c r="AT156" s="37">
        <v>0</v>
      </c>
      <c r="AU156" s="37">
        <v>0</v>
      </c>
      <c r="AV156" s="37">
        <v>0</v>
      </c>
      <c r="AW156" s="37">
        <v>0</v>
      </c>
      <c r="AX156" s="37">
        <v>0</v>
      </c>
      <c r="AY156" s="37">
        <f>SUM(AN156:AX156)</f>
        <v>0</v>
      </c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</row>
    <row r="157" spans="1:171" ht="15" customHeight="1" x14ac:dyDescent="0.35">
      <c r="A157" s="20">
        <v>83999</v>
      </c>
      <c r="B157" s="24"/>
      <c r="C157" s="26" t="s">
        <v>260</v>
      </c>
      <c r="D157" s="39">
        <f>SUM(D138:D156)</f>
        <v>186510</v>
      </c>
      <c r="E157" s="39">
        <f>SUM(E138:E156)</f>
        <v>564813</v>
      </c>
      <c r="F157" s="39">
        <f t="shared" ref="F157:N157" si="114">SUM(F138:F156)</f>
        <v>3359</v>
      </c>
      <c r="G157" s="39">
        <f t="shared" si="114"/>
        <v>30301</v>
      </c>
      <c r="H157" s="39">
        <f t="shared" si="114"/>
        <v>52355</v>
      </c>
      <c r="I157" s="39">
        <f t="shared" si="114"/>
        <v>59214</v>
      </c>
      <c r="J157" s="39">
        <f t="shared" si="114"/>
        <v>295700</v>
      </c>
      <c r="K157" s="39">
        <f t="shared" si="114"/>
        <v>45270</v>
      </c>
      <c r="L157" s="39">
        <f t="shared" si="114"/>
        <v>111677</v>
      </c>
      <c r="M157" s="39">
        <f t="shared" si="114"/>
        <v>275</v>
      </c>
      <c r="N157" s="39">
        <f t="shared" si="114"/>
        <v>1349474</v>
      </c>
      <c r="O157" s="58"/>
      <c r="P157" s="39">
        <f t="shared" ref="P157:Z157" si="115">SUM(P138:P156)</f>
        <v>139790</v>
      </c>
      <c r="Q157" s="39">
        <f t="shared" si="115"/>
        <v>423610</v>
      </c>
      <c r="R157" s="39">
        <f t="shared" si="115"/>
        <v>52916</v>
      </c>
      <c r="S157" s="39">
        <f t="shared" si="115"/>
        <v>0</v>
      </c>
      <c r="T157" s="39">
        <f t="shared" si="115"/>
        <v>111671</v>
      </c>
      <c r="U157" s="39">
        <f t="shared" si="115"/>
        <v>58889</v>
      </c>
      <c r="V157" s="39">
        <f t="shared" si="115"/>
        <v>271060</v>
      </c>
      <c r="W157" s="39">
        <f t="shared" si="115"/>
        <v>84565</v>
      </c>
      <c r="X157" s="39">
        <f t="shared" si="115"/>
        <v>112000</v>
      </c>
      <c r="Y157" s="39">
        <f t="shared" si="115"/>
        <v>139</v>
      </c>
      <c r="Z157" s="39">
        <f t="shared" si="115"/>
        <v>1254640</v>
      </c>
      <c r="AA157" s="59"/>
      <c r="AB157" s="39">
        <f t="shared" ref="AB157:AL157" si="116">SUM(AB138:AB156)</f>
        <v>186388</v>
      </c>
      <c r="AC157" s="39">
        <f t="shared" si="116"/>
        <v>508204</v>
      </c>
      <c r="AD157" s="39">
        <f t="shared" si="116"/>
        <v>49730</v>
      </c>
      <c r="AE157" s="39">
        <f t="shared" si="116"/>
        <v>21051</v>
      </c>
      <c r="AF157" s="39">
        <f t="shared" si="116"/>
        <v>142267</v>
      </c>
      <c r="AG157" s="39">
        <f t="shared" si="116"/>
        <v>95090</v>
      </c>
      <c r="AH157" s="39">
        <f t="shared" si="116"/>
        <v>349466</v>
      </c>
      <c r="AI157" s="39">
        <f t="shared" si="116"/>
        <v>378755</v>
      </c>
      <c r="AJ157" s="39">
        <f t="shared" si="116"/>
        <v>96000</v>
      </c>
      <c r="AK157" s="39">
        <f t="shared" si="116"/>
        <v>1076</v>
      </c>
      <c r="AL157" s="39">
        <f t="shared" si="116"/>
        <v>1828027</v>
      </c>
      <c r="AM157" s="60"/>
      <c r="AN157" s="39">
        <f t="shared" ref="AN157:AY157" si="117">SUM(AN138:AN156)</f>
        <v>94263</v>
      </c>
      <c r="AO157" s="39">
        <f t="shared" si="117"/>
        <v>254101</v>
      </c>
      <c r="AP157" s="39">
        <f t="shared" si="117"/>
        <v>7965</v>
      </c>
      <c r="AQ157" s="39">
        <f t="shared" si="117"/>
        <v>6192</v>
      </c>
      <c r="AR157" s="39">
        <f t="shared" si="117"/>
        <v>66932</v>
      </c>
      <c r="AS157" s="39">
        <f t="shared" si="117"/>
        <v>36556</v>
      </c>
      <c r="AT157" s="39">
        <f t="shared" si="117"/>
        <v>23104</v>
      </c>
      <c r="AU157" s="39">
        <f t="shared" si="117"/>
        <v>173839</v>
      </c>
      <c r="AV157" s="39">
        <f t="shared" si="117"/>
        <v>147010</v>
      </c>
      <c r="AW157" s="39">
        <f t="shared" si="117"/>
        <v>48000</v>
      </c>
      <c r="AX157" s="39">
        <f t="shared" si="117"/>
        <v>552</v>
      </c>
      <c r="AY157" s="39">
        <f t="shared" si="117"/>
        <v>858514</v>
      </c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</row>
    <row r="158" spans="1:171" ht="15" customHeight="1" x14ac:dyDescent="0.35">
      <c r="A158" s="14" t="s">
        <v>261</v>
      </c>
      <c r="B158" s="24"/>
      <c r="C158" s="24" t="s">
        <v>262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f>SUM(D158:M158)</f>
        <v>0</v>
      </c>
      <c r="O158" s="58"/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v>0</v>
      </c>
      <c r="Y158" s="37">
        <v>0</v>
      </c>
      <c r="Z158" s="37">
        <f>SUM(P158:Y158)</f>
        <v>0</v>
      </c>
      <c r="AA158" s="59"/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f>SUM(AB158:AK158)</f>
        <v>0</v>
      </c>
      <c r="AM158" s="60"/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37">
        <v>0</v>
      </c>
      <c r="AT158" s="37">
        <v>0</v>
      </c>
      <c r="AU158" s="37">
        <v>0</v>
      </c>
      <c r="AV158" s="37">
        <v>0</v>
      </c>
      <c r="AW158" s="37">
        <v>0</v>
      </c>
      <c r="AX158" s="37">
        <v>0</v>
      </c>
      <c r="AY158" s="37">
        <f>SUM(AN158:AX158)</f>
        <v>0</v>
      </c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</row>
    <row r="159" spans="1:171" ht="15" customHeight="1" x14ac:dyDescent="0.35">
      <c r="A159" s="14" t="s">
        <v>263</v>
      </c>
      <c r="B159" s="24"/>
      <c r="C159" s="24" t="s">
        <v>264</v>
      </c>
      <c r="D159" s="37">
        <v>0</v>
      </c>
      <c r="E159" s="37">
        <v>0</v>
      </c>
      <c r="F159" s="37">
        <v>10784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18747</v>
      </c>
      <c r="N159" s="37">
        <f>SUM(D159:M159)</f>
        <v>29531</v>
      </c>
      <c r="O159" s="58"/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f>SUM(P159:Y159)</f>
        <v>0</v>
      </c>
      <c r="AA159" s="59"/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f>SUM(AB159:AK159)</f>
        <v>0</v>
      </c>
      <c r="AM159" s="60"/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7">
        <v>0</v>
      </c>
      <c r="AY159" s="37">
        <f>SUM(AN159:AX159)</f>
        <v>0</v>
      </c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</row>
    <row r="160" spans="1:171" ht="15" customHeight="1" x14ac:dyDescent="0.35">
      <c r="A160" s="20">
        <v>84999</v>
      </c>
      <c r="B160" s="24"/>
      <c r="C160" s="26" t="s">
        <v>265</v>
      </c>
      <c r="D160" s="41">
        <f>SUM(D157:D159)</f>
        <v>186510</v>
      </c>
      <c r="E160" s="41">
        <f>SUM(E157:E159)</f>
        <v>564813</v>
      </c>
      <c r="F160" s="41">
        <f t="shared" ref="F160:N160" si="118">SUM(F157:F159)</f>
        <v>14143</v>
      </c>
      <c r="G160" s="41">
        <f t="shared" si="118"/>
        <v>30301</v>
      </c>
      <c r="H160" s="41">
        <f t="shared" si="118"/>
        <v>52355</v>
      </c>
      <c r="I160" s="41">
        <f t="shared" si="118"/>
        <v>59214</v>
      </c>
      <c r="J160" s="41">
        <f t="shared" si="118"/>
        <v>295700</v>
      </c>
      <c r="K160" s="41">
        <f t="shared" si="118"/>
        <v>45270</v>
      </c>
      <c r="L160" s="41">
        <f t="shared" si="118"/>
        <v>111677</v>
      </c>
      <c r="M160" s="41">
        <f t="shared" si="118"/>
        <v>19022</v>
      </c>
      <c r="N160" s="41">
        <f t="shared" si="118"/>
        <v>1379005</v>
      </c>
      <c r="O160" s="58"/>
      <c r="P160" s="41">
        <f t="shared" ref="P160:Z160" si="119">SUM(P157:P159)</f>
        <v>139790</v>
      </c>
      <c r="Q160" s="41">
        <f t="shared" si="119"/>
        <v>423610</v>
      </c>
      <c r="R160" s="41">
        <f t="shared" si="119"/>
        <v>52916</v>
      </c>
      <c r="S160" s="41">
        <f t="shared" si="119"/>
        <v>0</v>
      </c>
      <c r="T160" s="41">
        <f t="shared" si="119"/>
        <v>111671</v>
      </c>
      <c r="U160" s="41">
        <f t="shared" si="119"/>
        <v>58889</v>
      </c>
      <c r="V160" s="41">
        <f t="shared" si="119"/>
        <v>271060</v>
      </c>
      <c r="W160" s="41">
        <f t="shared" si="119"/>
        <v>84565</v>
      </c>
      <c r="X160" s="41">
        <f t="shared" si="119"/>
        <v>112000</v>
      </c>
      <c r="Y160" s="41">
        <f t="shared" si="119"/>
        <v>139</v>
      </c>
      <c r="Z160" s="41">
        <f t="shared" si="119"/>
        <v>1254640</v>
      </c>
      <c r="AA160" s="59"/>
      <c r="AB160" s="41">
        <f t="shared" ref="AB160:AL160" si="120">SUM(AB157:AB159)</f>
        <v>186388</v>
      </c>
      <c r="AC160" s="41">
        <f t="shared" si="120"/>
        <v>508204</v>
      </c>
      <c r="AD160" s="41">
        <f t="shared" si="120"/>
        <v>49730</v>
      </c>
      <c r="AE160" s="41">
        <f t="shared" si="120"/>
        <v>21051</v>
      </c>
      <c r="AF160" s="41">
        <f t="shared" si="120"/>
        <v>142267</v>
      </c>
      <c r="AG160" s="41">
        <f t="shared" si="120"/>
        <v>95090</v>
      </c>
      <c r="AH160" s="41">
        <f t="shared" si="120"/>
        <v>349466</v>
      </c>
      <c r="AI160" s="41">
        <f t="shared" si="120"/>
        <v>378755</v>
      </c>
      <c r="AJ160" s="41">
        <f t="shared" si="120"/>
        <v>96000</v>
      </c>
      <c r="AK160" s="41">
        <f t="shared" si="120"/>
        <v>1076</v>
      </c>
      <c r="AL160" s="41">
        <f t="shared" si="120"/>
        <v>1828027</v>
      </c>
      <c r="AM160" s="60"/>
      <c r="AN160" s="41">
        <f t="shared" ref="AN160:AY160" si="121">SUM(AN157:AN159)</f>
        <v>94263</v>
      </c>
      <c r="AO160" s="41">
        <f t="shared" si="121"/>
        <v>254101</v>
      </c>
      <c r="AP160" s="41">
        <f t="shared" si="121"/>
        <v>7965</v>
      </c>
      <c r="AQ160" s="41">
        <f t="shared" si="121"/>
        <v>6192</v>
      </c>
      <c r="AR160" s="41">
        <f t="shared" si="121"/>
        <v>66932</v>
      </c>
      <c r="AS160" s="41">
        <f t="shared" si="121"/>
        <v>36556</v>
      </c>
      <c r="AT160" s="41">
        <f t="shared" si="121"/>
        <v>23104</v>
      </c>
      <c r="AU160" s="41">
        <f t="shared" si="121"/>
        <v>173839</v>
      </c>
      <c r="AV160" s="41">
        <f t="shared" si="121"/>
        <v>147010</v>
      </c>
      <c r="AW160" s="41">
        <f t="shared" si="121"/>
        <v>48000</v>
      </c>
      <c r="AX160" s="41">
        <f t="shared" si="121"/>
        <v>552</v>
      </c>
      <c r="AY160" s="41">
        <f t="shared" si="121"/>
        <v>858514</v>
      </c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</row>
    <row r="161" spans="1:171" ht="15" customHeight="1" x14ac:dyDescent="0.35">
      <c r="A161" s="20">
        <v>86999</v>
      </c>
      <c r="B161" s="24"/>
      <c r="C161" s="26" t="s">
        <v>266</v>
      </c>
      <c r="D161" s="39">
        <f>D104+D160</f>
        <v>2330359</v>
      </c>
      <c r="E161" s="39">
        <f>E104+E160</f>
        <v>7060172</v>
      </c>
      <c r="F161" s="39">
        <f t="shared" ref="F161:N161" si="122">F104+F160</f>
        <v>416016</v>
      </c>
      <c r="G161" s="39">
        <f t="shared" si="122"/>
        <v>378748</v>
      </c>
      <c r="H161" s="39">
        <f t="shared" si="122"/>
        <v>805654</v>
      </c>
      <c r="I161" s="39">
        <f t="shared" si="122"/>
        <v>908546</v>
      </c>
      <c r="J161" s="39">
        <f t="shared" si="122"/>
        <v>4549082</v>
      </c>
      <c r="K161" s="39">
        <f t="shared" si="122"/>
        <v>565885</v>
      </c>
      <c r="L161" s="39">
        <f t="shared" si="122"/>
        <v>1395958</v>
      </c>
      <c r="M161" s="39">
        <f t="shared" si="122"/>
        <v>292465</v>
      </c>
      <c r="N161" s="39">
        <f t="shared" si="122"/>
        <v>18702885</v>
      </c>
      <c r="O161" s="58"/>
      <c r="P161" s="39">
        <f t="shared" ref="P161:Z161" si="123">P104+P160</f>
        <v>1747379</v>
      </c>
      <c r="Q161" s="39">
        <f t="shared" si="123"/>
        <v>5295129</v>
      </c>
      <c r="R161" s="39">
        <f t="shared" si="123"/>
        <v>665365.73</v>
      </c>
      <c r="S161" s="39">
        <f t="shared" si="123"/>
        <v>0</v>
      </c>
      <c r="T161" s="39">
        <f t="shared" si="123"/>
        <v>1351818.07</v>
      </c>
      <c r="U161" s="39">
        <f t="shared" si="123"/>
        <v>713271.97</v>
      </c>
      <c r="V161" s="39">
        <f t="shared" si="123"/>
        <v>3282645.37</v>
      </c>
      <c r="W161" s="39">
        <f t="shared" si="123"/>
        <v>1088967.8900000001</v>
      </c>
      <c r="X161" s="39">
        <f t="shared" si="123"/>
        <v>1400000</v>
      </c>
      <c r="Y161" s="39">
        <f t="shared" si="123"/>
        <v>1939</v>
      </c>
      <c r="Z161" s="39">
        <f t="shared" si="123"/>
        <v>15546516.029999999</v>
      </c>
      <c r="AA161" s="59"/>
      <c r="AB161" s="39">
        <f t="shared" ref="AB161:AL161" si="124">AB104+AB160</f>
        <v>2329840</v>
      </c>
      <c r="AC161" s="39">
        <f t="shared" si="124"/>
        <v>6352529</v>
      </c>
      <c r="AD161" s="39">
        <f t="shared" si="124"/>
        <v>625313</v>
      </c>
      <c r="AE161" s="39">
        <f t="shared" si="124"/>
        <v>263149</v>
      </c>
      <c r="AF161" s="39">
        <f t="shared" si="124"/>
        <v>1713584</v>
      </c>
      <c r="AG161" s="39">
        <f t="shared" si="124"/>
        <v>1219102</v>
      </c>
      <c r="AH161" s="39">
        <f t="shared" si="124"/>
        <v>4210655</v>
      </c>
      <c r="AI161" s="39">
        <f t="shared" si="124"/>
        <v>4757060</v>
      </c>
      <c r="AJ161" s="39">
        <f t="shared" si="124"/>
        <v>1215000</v>
      </c>
      <c r="AK161" s="39">
        <f t="shared" si="124"/>
        <v>16676</v>
      </c>
      <c r="AL161" s="39">
        <f t="shared" si="124"/>
        <v>22702908</v>
      </c>
      <c r="AM161" s="60"/>
      <c r="AN161" s="39">
        <f t="shared" ref="AN161:AY161" si="125">AN104+AN160</f>
        <v>1164919</v>
      </c>
      <c r="AO161" s="39">
        <f t="shared" si="125"/>
        <v>3170383</v>
      </c>
      <c r="AP161" s="39">
        <f t="shared" si="125"/>
        <v>100157</v>
      </c>
      <c r="AQ161" s="39">
        <f t="shared" si="125"/>
        <v>77392</v>
      </c>
      <c r="AR161" s="39">
        <f t="shared" si="125"/>
        <v>805868</v>
      </c>
      <c r="AS161" s="39">
        <f t="shared" si="125"/>
        <v>407516</v>
      </c>
      <c r="AT161" s="39">
        <f t="shared" si="125"/>
        <v>310794</v>
      </c>
      <c r="AU161" s="39">
        <f t="shared" si="125"/>
        <v>2106143</v>
      </c>
      <c r="AV161" s="39">
        <f t="shared" si="125"/>
        <v>1785190</v>
      </c>
      <c r="AW161" s="39">
        <f t="shared" si="125"/>
        <v>607500</v>
      </c>
      <c r="AX161" s="39">
        <f t="shared" si="125"/>
        <v>7452</v>
      </c>
      <c r="AY161" s="39">
        <f t="shared" si="125"/>
        <v>10543314</v>
      </c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</row>
    <row r="162" spans="1:171" ht="15" customHeight="1" x14ac:dyDescent="0.35">
      <c r="A162" s="20">
        <v>87999</v>
      </c>
      <c r="B162" s="24"/>
      <c r="C162" s="26" t="s">
        <v>267</v>
      </c>
      <c r="D162" s="39">
        <f>D21-D161</f>
        <v>-520</v>
      </c>
      <c r="E162" s="39">
        <f>E21-E161</f>
        <v>0</v>
      </c>
      <c r="F162" s="39">
        <f t="shared" ref="F162:N162" si="126">F21-F161</f>
        <v>-249</v>
      </c>
      <c r="G162" s="39">
        <f t="shared" si="126"/>
        <v>0</v>
      </c>
      <c r="H162" s="39">
        <f t="shared" si="126"/>
        <v>47266</v>
      </c>
      <c r="I162" s="39">
        <f t="shared" si="126"/>
        <v>53103</v>
      </c>
      <c r="J162" s="39">
        <f t="shared" si="126"/>
        <v>266792</v>
      </c>
      <c r="K162" s="39">
        <f t="shared" si="126"/>
        <v>0</v>
      </c>
      <c r="L162" s="39">
        <f t="shared" si="126"/>
        <v>0</v>
      </c>
      <c r="M162" s="39">
        <f t="shared" si="126"/>
        <v>-19022</v>
      </c>
      <c r="N162" s="39">
        <f t="shared" si="126"/>
        <v>347370</v>
      </c>
      <c r="O162" s="58"/>
      <c r="P162" s="39">
        <f t="shared" ref="P162:Z162" si="127">P21-P161</f>
        <v>0.25</v>
      </c>
      <c r="Q162" s="39">
        <f t="shared" si="127"/>
        <v>0</v>
      </c>
      <c r="R162" s="39">
        <f t="shared" si="127"/>
        <v>-3920.359999999986</v>
      </c>
      <c r="S162" s="39">
        <f t="shared" si="127"/>
        <v>0</v>
      </c>
      <c r="T162" s="39">
        <f t="shared" si="127"/>
        <v>52333.329999999842</v>
      </c>
      <c r="U162" s="39">
        <f t="shared" si="127"/>
        <v>27650.780000000028</v>
      </c>
      <c r="V162" s="39">
        <f t="shared" si="127"/>
        <v>127211.25999999978</v>
      </c>
      <c r="W162" s="39">
        <f t="shared" si="127"/>
        <v>-31899.350000000093</v>
      </c>
      <c r="X162" s="39">
        <f t="shared" si="127"/>
        <v>0</v>
      </c>
      <c r="Y162" s="39">
        <f t="shared" si="127"/>
        <v>-139</v>
      </c>
      <c r="Z162" s="39">
        <f t="shared" si="127"/>
        <v>171236.90999999829</v>
      </c>
      <c r="AA162" s="59"/>
      <c r="AB162" s="39">
        <f t="shared" ref="AB162:AL162" si="128">AB21-AB161</f>
        <v>0</v>
      </c>
      <c r="AC162" s="39">
        <f t="shared" si="128"/>
        <v>0</v>
      </c>
      <c r="AD162" s="39">
        <f t="shared" si="128"/>
        <v>-3684</v>
      </c>
      <c r="AE162" s="39">
        <f t="shared" si="128"/>
        <v>0</v>
      </c>
      <c r="AF162" s="39">
        <f t="shared" si="128"/>
        <v>65536</v>
      </c>
      <c r="AG162" s="39">
        <f t="shared" si="128"/>
        <v>53558</v>
      </c>
      <c r="AH162" s="39">
        <f t="shared" si="128"/>
        <v>161161</v>
      </c>
      <c r="AI162" s="39">
        <f t="shared" si="128"/>
        <v>-22629</v>
      </c>
      <c r="AJ162" s="39">
        <f t="shared" si="128"/>
        <v>-15000</v>
      </c>
      <c r="AK162" s="39">
        <f t="shared" si="128"/>
        <v>-1076</v>
      </c>
      <c r="AL162" s="39">
        <f t="shared" si="128"/>
        <v>237866</v>
      </c>
      <c r="AM162" s="60"/>
      <c r="AN162" s="39">
        <f t="shared" ref="AN162:AY162" si="129">AN21-AN161</f>
        <v>1</v>
      </c>
      <c r="AO162" s="39">
        <f t="shared" si="129"/>
        <v>5881</v>
      </c>
      <c r="AP162" s="39">
        <f t="shared" si="129"/>
        <v>-590</v>
      </c>
      <c r="AQ162" s="39">
        <f t="shared" si="129"/>
        <v>-1</v>
      </c>
      <c r="AR162" s="39">
        <f t="shared" si="129"/>
        <v>30788</v>
      </c>
      <c r="AS162" s="39">
        <f t="shared" si="129"/>
        <v>12503</v>
      </c>
      <c r="AT162" s="39">
        <f t="shared" si="129"/>
        <v>14942</v>
      </c>
      <c r="AU162" s="39">
        <f t="shared" si="129"/>
        <v>81701</v>
      </c>
      <c r="AV162" s="39">
        <f t="shared" si="129"/>
        <v>52431</v>
      </c>
      <c r="AW162" s="39">
        <f t="shared" si="129"/>
        <v>-7500</v>
      </c>
      <c r="AX162" s="39">
        <f t="shared" si="129"/>
        <v>-552</v>
      </c>
      <c r="AY162" s="39">
        <f t="shared" si="129"/>
        <v>189604</v>
      </c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</row>
    <row r="163" spans="1:171" ht="15" customHeight="1" x14ac:dyDescent="0.35">
      <c r="A163" s="33">
        <v>88999</v>
      </c>
      <c r="B163" s="24"/>
      <c r="C163" s="25" t="s">
        <v>268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f>SUM(D163:M163)</f>
        <v>0</v>
      </c>
      <c r="O163" s="58"/>
      <c r="P163" s="37">
        <v>0</v>
      </c>
      <c r="Q163" s="37">
        <v>0</v>
      </c>
      <c r="R163" s="37">
        <v>0</v>
      </c>
      <c r="S163" s="37">
        <v>0</v>
      </c>
      <c r="T163" s="37">
        <v>0</v>
      </c>
      <c r="U163" s="37">
        <v>0</v>
      </c>
      <c r="V163" s="37">
        <v>0</v>
      </c>
      <c r="W163" s="37">
        <v>0</v>
      </c>
      <c r="X163" s="37">
        <v>0</v>
      </c>
      <c r="Y163" s="37">
        <v>0</v>
      </c>
      <c r="Z163" s="37">
        <f>SUM(P163:Y163)</f>
        <v>0</v>
      </c>
      <c r="AA163" s="59"/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37">
        <v>0</v>
      </c>
      <c r="AL163" s="37">
        <f>SUM(AB163:AK163)</f>
        <v>0</v>
      </c>
      <c r="AM163" s="60"/>
      <c r="AN163" s="37">
        <v>0</v>
      </c>
      <c r="AO163" s="37">
        <v>0</v>
      </c>
      <c r="AP163" s="37">
        <v>0</v>
      </c>
      <c r="AQ163" s="37">
        <v>0</v>
      </c>
      <c r="AR163" s="37">
        <v>0</v>
      </c>
      <c r="AS163" s="37">
        <v>0</v>
      </c>
      <c r="AT163" s="37">
        <v>0</v>
      </c>
      <c r="AU163" s="37">
        <v>0</v>
      </c>
      <c r="AV163" s="37">
        <v>0</v>
      </c>
      <c r="AW163" s="37">
        <v>0</v>
      </c>
      <c r="AX163" s="37">
        <v>0</v>
      </c>
      <c r="AY163" s="37">
        <f>SUM(AN163:AX163)</f>
        <v>0</v>
      </c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</row>
    <row r="164" spans="1:171" x14ac:dyDescent="0.35">
      <c r="A164" s="20">
        <v>89999</v>
      </c>
      <c r="B164" s="24"/>
      <c r="C164" s="26" t="s">
        <v>269</v>
      </c>
      <c r="D164" s="39">
        <f>D162+D163</f>
        <v>-520</v>
      </c>
      <c r="E164" s="39">
        <f>E162+E163</f>
        <v>0</v>
      </c>
      <c r="F164" s="39">
        <f t="shared" ref="F164:N164" si="130">F162+F163</f>
        <v>-249</v>
      </c>
      <c r="G164" s="39">
        <f t="shared" si="130"/>
        <v>0</v>
      </c>
      <c r="H164" s="39">
        <f t="shared" si="130"/>
        <v>47266</v>
      </c>
      <c r="I164" s="39">
        <f t="shared" si="130"/>
        <v>53103</v>
      </c>
      <c r="J164" s="39">
        <f t="shared" si="130"/>
        <v>266792</v>
      </c>
      <c r="K164" s="39">
        <f t="shared" si="130"/>
        <v>0</v>
      </c>
      <c r="L164" s="39">
        <f t="shared" si="130"/>
        <v>0</v>
      </c>
      <c r="M164" s="39">
        <f t="shared" si="130"/>
        <v>-19022</v>
      </c>
      <c r="N164" s="39">
        <f t="shared" si="130"/>
        <v>347370</v>
      </c>
      <c r="O164" s="58"/>
      <c r="P164" s="39">
        <f t="shared" ref="P164:Z164" si="131">P162+P163</f>
        <v>0.25</v>
      </c>
      <c r="Q164" s="39">
        <f t="shared" si="131"/>
        <v>0</v>
      </c>
      <c r="R164" s="39">
        <f t="shared" si="131"/>
        <v>-3920.359999999986</v>
      </c>
      <c r="S164" s="39">
        <f t="shared" si="131"/>
        <v>0</v>
      </c>
      <c r="T164" s="39">
        <f t="shared" si="131"/>
        <v>52333.329999999842</v>
      </c>
      <c r="U164" s="39">
        <f t="shared" si="131"/>
        <v>27650.780000000028</v>
      </c>
      <c r="V164" s="39">
        <f t="shared" si="131"/>
        <v>127211.25999999978</v>
      </c>
      <c r="W164" s="39">
        <f t="shared" si="131"/>
        <v>-31899.350000000093</v>
      </c>
      <c r="X164" s="39">
        <f t="shared" si="131"/>
        <v>0</v>
      </c>
      <c r="Y164" s="39">
        <f t="shared" si="131"/>
        <v>-139</v>
      </c>
      <c r="Z164" s="39">
        <f t="shared" si="131"/>
        <v>171236.90999999829</v>
      </c>
      <c r="AA164" s="59"/>
      <c r="AB164" s="39">
        <f t="shared" ref="AB164:AL164" si="132">AB162+AB163</f>
        <v>0</v>
      </c>
      <c r="AC164" s="39">
        <f t="shared" si="132"/>
        <v>0</v>
      </c>
      <c r="AD164" s="39">
        <f t="shared" si="132"/>
        <v>-3684</v>
      </c>
      <c r="AE164" s="39">
        <f t="shared" si="132"/>
        <v>0</v>
      </c>
      <c r="AF164" s="39">
        <f t="shared" si="132"/>
        <v>65536</v>
      </c>
      <c r="AG164" s="39">
        <f t="shared" si="132"/>
        <v>53558</v>
      </c>
      <c r="AH164" s="39">
        <f t="shared" si="132"/>
        <v>161161</v>
      </c>
      <c r="AI164" s="39">
        <f t="shared" si="132"/>
        <v>-22629</v>
      </c>
      <c r="AJ164" s="39">
        <f t="shared" si="132"/>
        <v>-15000</v>
      </c>
      <c r="AK164" s="39">
        <f t="shared" si="132"/>
        <v>-1076</v>
      </c>
      <c r="AL164" s="39">
        <f t="shared" si="132"/>
        <v>237866</v>
      </c>
      <c r="AM164" s="60"/>
      <c r="AN164" s="39">
        <f t="shared" ref="AN164:AY164" si="133">AN162+AN163</f>
        <v>1</v>
      </c>
      <c r="AO164" s="39">
        <f t="shared" si="133"/>
        <v>5881</v>
      </c>
      <c r="AP164" s="39">
        <f t="shared" si="133"/>
        <v>-590</v>
      </c>
      <c r="AQ164" s="39">
        <f t="shared" si="133"/>
        <v>-1</v>
      </c>
      <c r="AR164" s="39">
        <f t="shared" si="133"/>
        <v>30788</v>
      </c>
      <c r="AS164" s="39">
        <f t="shared" si="133"/>
        <v>12503</v>
      </c>
      <c r="AT164" s="39">
        <f t="shared" si="133"/>
        <v>14942</v>
      </c>
      <c r="AU164" s="39">
        <f t="shared" si="133"/>
        <v>81701</v>
      </c>
      <c r="AV164" s="39">
        <f t="shared" si="133"/>
        <v>52431</v>
      </c>
      <c r="AW164" s="39">
        <f t="shared" si="133"/>
        <v>-7500</v>
      </c>
      <c r="AX164" s="39">
        <f t="shared" si="133"/>
        <v>-552</v>
      </c>
      <c r="AY164" s="39">
        <f t="shared" si="133"/>
        <v>189604</v>
      </c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</row>
    <row r="165" spans="1:171" ht="18" customHeight="1" x14ac:dyDescent="0.35">
      <c r="A165" s="14"/>
      <c r="B165" s="24"/>
      <c r="C165" s="26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58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59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60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</row>
    <row r="166" spans="1:171" x14ac:dyDescent="0.35">
      <c r="A166" s="14" t="s">
        <v>270</v>
      </c>
      <c r="B166" s="24"/>
      <c r="C166" s="24" t="s">
        <v>271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58"/>
      <c r="P166" s="37">
        <v>0</v>
      </c>
      <c r="Q166" s="37">
        <v>0</v>
      </c>
      <c r="R166" s="37">
        <v>-791</v>
      </c>
      <c r="S166" s="37">
        <v>0</v>
      </c>
      <c r="T166" s="37">
        <v>10422</v>
      </c>
      <c r="U166" s="37">
        <v>5499</v>
      </c>
      <c r="V166" s="37">
        <v>25309</v>
      </c>
      <c r="W166" s="37">
        <v>-6434</v>
      </c>
      <c r="X166" s="37">
        <v>0</v>
      </c>
      <c r="Y166" s="37">
        <v>0</v>
      </c>
      <c r="Z166" s="37">
        <f>SUM(P166:Y166)</f>
        <v>34005</v>
      </c>
      <c r="AA166" s="59"/>
      <c r="AB166" s="37">
        <v>0</v>
      </c>
      <c r="AC166" s="37">
        <v>0</v>
      </c>
      <c r="AD166" s="37">
        <v>-518</v>
      </c>
      <c r="AE166" s="37">
        <v>0</v>
      </c>
      <c r="AF166" s="37">
        <v>8127</v>
      </c>
      <c r="AG166" s="37">
        <v>5745</v>
      </c>
      <c r="AH166" s="37">
        <v>19880</v>
      </c>
      <c r="AI166" s="37">
        <v>1617</v>
      </c>
      <c r="AJ166" s="37">
        <v>-1464</v>
      </c>
      <c r="AK166" s="37">
        <v>-91</v>
      </c>
      <c r="AL166" s="37">
        <f>SUM(AB166:AK166)</f>
        <v>33296</v>
      </c>
      <c r="AM166" s="60"/>
      <c r="AN166" s="37">
        <v>0</v>
      </c>
      <c r="AO166" s="37">
        <v>566</v>
      </c>
      <c r="AP166" s="37">
        <v>7</v>
      </c>
      <c r="AQ166" s="37">
        <v>0</v>
      </c>
      <c r="AR166" s="37">
        <v>1544</v>
      </c>
      <c r="AS166" s="37">
        <v>960</v>
      </c>
      <c r="AT166" s="37">
        <v>665</v>
      </c>
      <c r="AU166" s="37">
        <v>4288</v>
      </c>
      <c r="AV166" s="37">
        <v>4693</v>
      </c>
      <c r="AW166" s="37">
        <v>-396</v>
      </c>
      <c r="AX166" s="37">
        <v>-15</v>
      </c>
      <c r="AY166" s="37">
        <f>SUM(AN166:AX166)</f>
        <v>12312</v>
      </c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</row>
    <row r="167" spans="1:171" x14ac:dyDescent="0.35">
      <c r="A167" s="14" t="s">
        <v>272</v>
      </c>
      <c r="B167" s="24"/>
      <c r="C167" s="24" t="s">
        <v>273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58"/>
      <c r="P167" s="37">
        <v>0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  <c r="X167" s="37">
        <v>0</v>
      </c>
      <c r="Y167" s="37">
        <f t="shared" ref="Y167" si="134">SUM(O167:X167)</f>
        <v>0</v>
      </c>
      <c r="Z167" s="37">
        <v>0</v>
      </c>
      <c r="AA167" s="59"/>
      <c r="AB167" s="37">
        <v>0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f t="shared" ref="AJ167" si="135">SUM(Z167:AI167)</f>
        <v>0</v>
      </c>
      <c r="AK167" s="37">
        <v>0</v>
      </c>
      <c r="AL167" s="37">
        <v>0</v>
      </c>
      <c r="AM167" s="60"/>
      <c r="AN167" s="37">
        <v>0</v>
      </c>
      <c r="AO167" s="37">
        <v>0</v>
      </c>
      <c r="AP167" s="37">
        <v>0</v>
      </c>
      <c r="AQ167" s="37">
        <v>0</v>
      </c>
      <c r="AR167" s="37">
        <v>0</v>
      </c>
      <c r="AS167" s="37">
        <v>0</v>
      </c>
      <c r="AT167" s="37">
        <v>0</v>
      </c>
      <c r="AU167" s="37">
        <f t="shared" ref="AU167" si="136">SUM(AK167:AT167)</f>
        <v>0</v>
      </c>
      <c r="AV167" s="37">
        <v>0</v>
      </c>
      <c r="AW167" s="37">
        <v>0</v>
      </c>
      <c r="AX167" s="37">
        <v>0</v>
      </c>
      <c r="AY167" s="37">
        <v>0</v>
      </c>
      <c r="AZ167" s="37"/>
      <c r="BA167" s="37"/>
      <c r="BB167" s="37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</row>
    <row r="168" spans="1:171" x14ac:dyDescent="0.35">
      <c r="A168" s="14" t="s">
        <v>274</v>
      </c>
      <c r="B168" s="24"/>
      <c r="C168" s="24" t="s">
        <v>275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58"/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f>SUM(P168:Y168)</f>
        <v>0</v>
      </c>
      <c r="AA168" s="59"/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f>SUM(AB168:AK168)</f>
        <v>0</v>
      </c>
      <c r="AM168" s="60"/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37">
        <v>0</v>
      </c>
      <c r="AT168" s="37"/>
      <c r="AU168" s="37">
        <v>0</v>
      </c>
      <c r="AV168" s="37">
        <v>0</v>
      </c>
      <c r="AW168" s="37">
        <v>0</v>
      </c>
      <c r="AX168" s="37">
        <v>0</v>
      </c>
      <c r="AY168" s="37">
        <f>SUM(AN168:AX168)</f>
        <v>0</v>
      </c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</row>
    <row r="169" spans="1:171" x14ac:dyDescent="0.35">
      <c r="A169" s="14"/>
      <c r="B169" s="24"/>
      <c r="C169" s="2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58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59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60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</row>
    <row r="170" spans="1:171" ht="16" thickBot="1" x14ac:dyDescent="0.4">
      <c r="A170" s="20">
        <v>99999</v>
      </c>
      <c r="B170" s="26"/>
      <c r="C170" s="26" t="s">
        <v>276</v>
      </c>
      <c r="D170" s="42">
        <f>D164-D166-D167-D168</f>
        <v>-520</v>
      </c>
      <c r="E170" s="42">
        <f>E164-E166-E167-E168</f>
        <v>0</v>
      </c>
      <c r="F170" s="42">
        <f t="shared" ref="F170:N170" si="137">F164-F166-F167-F168</f>
        <v>-249</v>
      </c>
      <c r="G170" s="42">
        <f t="shared" si="137"/>
        <v>0</v>
      </c>
      <c r="H170" s="42">
        <f t="shared" si="137"/>
        <v>47266</v>
      </c>
      <c r="I170" s="42">
        <f t="shared" si="137"/>
        <v>53103</v>
      </c>
      <c r="J170" s="42">
        <f t="shared" si="137"/>
        <v>266792</v>
      </c>
      <c r="K170" s="42">
        <f t="shared" si="137"/>
        <v>0</v>
      </c>
      <c r="L170" s="42">
        <f t="shared" si="137"/>
        <v>0</v>
      </c>
      <c r="M170" s="42">
        <f t="shared" si="137"/>
        <v>-19022</v>
      </c>
      <c r="N170" s="42">
        <f t="shared" si="137"/>
        <v>347370</v>
      </c>
      <c r="O170" s="58"/>
      <c r="P170" s="42">
        <f>P164-P166-P167-P168</f>
        <v>0.25</v>
      </c>
      <c r="Q170" s="42">
        <f>Q164-Q166-Q167-Q168</f>
        <v>0</v>
      </c>
      <c r="R170" s="42">
        <f t="shared" ref="R170:Z170" si="138">R164-R166-R167-R168</f>
        <v>-3129.359999999986</v>
      </c>
      <c r="S170" s="42">
        <f t="shared" si="138"/>
        <v>0</v>
      </c>
      <c r="T170" s="42">
        <f t="shared" si="138"/>
        <v>41911.329999999842</v>
      </c>
      <c r="U170" s="42">
        <f t="shared" si="138"/>
        <v>22151.780000000028</v>
      </c>
      <c r="V170" s="42">
        <f t="shared" si="138"/>
        <v>101902.25999999978</v>
      </c>
      <c r="W170" s="42">
        <f t="shared" si="138"/>
        <v>-25465.350000000093</v>
      </c>
      <c r="X170" s="42">
        <f t="shared" si="138"/>
        <v>0</v>
      </c>
      <c r="Y170" s="42">
        <f t="shared" si="138"/>
        <v>-139</v>
      </c>
      <c r="Z170" s="42">
        <f t="shared" si="138"/>
        <v>137231.90999999829</v>
      </c>
      <c r="AA170" s="59"/>
      <c r="AB170" s="42">
        <f>AB164-AB166-AB167-AB168</f>
        <v>0</v>
      </c>
      <c r="AC170" s="42">
        <f>AC164-AC166-AC167-AC168</f>
        <v>0</v>
      </c>
      <c r="AD170" s="42">
        <f t="shared" ref="AD170:AL170" si="139">AD164-AD166-AD167-AD168</f>
        <v>-3166</v>
      </c>
      <c r="AE170" s="42">
        <f t="shared" si="139"/>
        <v>0</v>
      </c>
      <c r="AF170" s="42">
        <f t="shared" si="139"/>
        <v>57409</v>
      </c>
      <c r="AG170" s="42">
        <f t="shared" si="139"/>
        <v>47813</v>
      </c>
      <c r="AH170" s="42">
        <f t="shared" si="139"/>
        <v>141281</v>
      </c>
      <c r="AI170" s="42">
        <f t="shared" si="139"/>
        <v>-24246</v>
      </c>
      <c r="AJ170" s="42">
        <f t="shared" si="139"/>
        <v>-13536</v>
      </c>
      <c r="AK170" s="42">
        <f t="shared" si="139"/>
        <v>-985</v>
      </c>
      <c r="AL170" s="42">
        <f t="shared" si="139"/>
        <v>204570</v>
      </c>
      <c r="AM170" s="60"/>
      <c r="AN170" s="42">
        <f>AN164-AN166-AN167-AN168</f>
        <v>1</v>
      </c>
      <c r="AO170" s="42">
        <f>AO164-AO166-AO167-AO168</f>
        <v>5315</v>
      </c>
      <c r="AP170" s="42">
        <f t="shared" ref="AP170:AY170" si="140">AP164-AP166-AP167-AP168</f>
        <v>-597</v>
      </c>
      <c r="AQ170" s="42">
        <f t="shared" si="140"/>
        <v>-1</v>
      </c>
      <c r="AR170" s="42">
        <f t="shared" si="140"/>
        <v>29244</v>
      </c>
      <c r="AS170" s="42">
        <f t="shared" si="140"/>
        <v>11543</v>
      </c>
      <c r="AT170" s="42">
        <f t="shared" si="140"/>
        <v>14277</v>
      </c>
      <c r="AU170" s="42">
        <f t="shared" si="140"/>
        <v>77413</v>
      </c>
      <c r="AV170" s="42">
        <f t="shared" si="140"/>
        <v>47738</v>
      </c>
      <c r="AW170" s="42">
        <f t="shared" si="140"/>
        <v>-7104</v>
      </c>
      <c r="AX170" s="42">
        <f t="shared" si="140"/>
        <v>-537</v>
      </c>
      <c r="AY170" s="42">
        <f t="shared" si="140"/>
        <v>177292</v>
      </c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</row>
    <row r="171" spans="1:171" ht="16" thickTop="1" x14ac:dyDescent="0.35">
      <c r="A171" s="10"/>
      <c r="B171" s="24"/>
      <c r="C171" s="2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59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59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60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</row>
    <row r="172" spans="1:171" x14ac:dyDescent="0.35">
      <c r="A172" s="11" t="s">
        <v>277</v>
      </c>
      <c r="B172" s="11"/>
      <c r="C172" s="15" t="s">
        <v>278</v>
      </c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59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59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60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</row>
    <row r="173" spans="1:171" x14ac:dyDescent="0.35">
      <c r="A173" s="11" t="s">
        <v>279</v>
      </c>
      <c r="B173" s="15"/>
      <c r="C173" s="15" t="s">
        <v>280</v>
      </c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59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59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60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</row>
    <row r="174" spans="1:171" x14ac:dyDescent="0.35">
      <c r="A174" s="10"/>
      <c r="B174" s="10"/>
      <c r="C174" s="10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59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59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60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</row>
    <row r="175" spans="1:171" x14ac:dyDescent="0.35">
      <c r="A175" s="20">
        <v>999999</v>
      </c>
      <c r="B175" s="10"/>
      <c r="C175" s="21" t="s">
        <v>281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6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60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60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</row>
    <row r="176" spans="1:171" x14ac:dyDescent="0.35"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60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60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60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</row>
    <row r="177" spans="1:171" x14ac:dyDescent="0.35">
      <c r="A177" s="36"/>
      <c r="B177" s="2" t="s">
        <v>282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46"/>
      <c r="N177" s="16"/>
      <c r="O177" s="60"/>
      <c r="P177" s="36"/>
      <c r="Q177" s="2" t="s">
        <v>282</v>
      </c>
      <c r="S177" s="16"/>
      <c r="T177" s="16"/>
      <c r="U177" s="16"/>
      <c r="V177" s="16"/>
      <c r="W177" s="16"/>
      <c r="X177" s="16"/>
      <c r="Y177" s="16"/>
      <c r="Z177" s="16"/>
      <c r="AA177" s="60"/>
      <c r="AB177" s="36"/>
      <c r="AC177" s="16" t="s">
        <v>282</v>
      </c>
      <c r="AD177" s="16"/>
      <c r="AE177" s="16"/>
      <c r="AF177" s="16"/>
      <c r="AG177" s="16"/>
      <c r="AH177" s="16"/>
      <c r="AI177" s="16"/>
      <c r="AJ177" s="16"/>
      <c r="AK177" s="16"/>
      <c r="AL177" s="16"/>
      <c r="AM177" s="60"/>
      <c r="AN177" s="36"/>
      <c r="AO177" s="16" t="s">
        <v>282</v>
      </c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</row>
    <row r="178" spans="1:171" x14ac:dyDescent="0.35">
      <c r="D178" s="4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60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60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60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</row>
    <row r="179" spans="1:171" x14ac:dyDescent="0.35">
      <c r="A179" s="34" t="s">
        <v>306</v>
      </c>
      <c r="D179" s="4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60"/>
      <c r="P179" s="34" t="s">
        <v>305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60"/>
      <c r="AB179" s="2" t="s">
        <v>305</v>
      </c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60"/>
      <c r="AN179" s="2" t="s">
        <v>305</v>
      </c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</row>
    <row r="180" spans="1:171" x14ac:dyDescent="0.35">
      <c r="D180" s="4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60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60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60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</row>
    <row r="181" spans="1:171" ht="18.5" x14ac:dyDescent="0.35">
      <c r="A181" s="34" t="s">
        <v>283</v>
      </c>
      <c r="P181" s="34" t="s">
        <v>284</v>
      </c>
      <c r="AB181" s="34" t="s">
        <v>284</v>
      </c>
      <c r="AN181" s="34" t="s">
        <v>284</v>
      </c>
    </row>
    <row r="182" spans="1:171" ht="18.5" x14ac:dyDescent="0.35">
      <c r="A182" s="34" t="s">
        <v>285</v>
      </c>
      <c r="P182" s="34" t="s">
        <v>286</v>
      </c>
      <c r="AB182" s="34" t="s">
        <v>287</v>
      </c>
      <c r="AN182" s="34" t="s">
        <v>288</v>
      </c>
    </row>
    <row r="183" spans="1:171" ht="18.5" x14ac:dyDescent="0.35">
      <c r="A183" s="34" t="s">
        <v>289</v>
      </c>
      <c r="P183" s="2" t="s">
        <v>290</v>
      </c>
      <c r="AB183" s="34" t="s">
        <v>291</v>
      </c>
      <c r="AN183" s="34" t="s">
        <v>292</v>
      </c>
    </row>
    <row r="184" spans="1:171" ht="18.5" x14ac:dyDescent="0.35">
      <c r="A184" s="2" t="s">
        <v>293</v>
      </c>
      <c r="P184" s="34" t="s">
        <v>294</v>
      </c>
      <c r="AB184" s="34" t="s">
        <v>298</v>
      </c>
      <c r="AN184" s="2" t="s">
        <v>299</v>
      </c>
    </row>
    <row r="185" spans="1:171" x14ac:dyDescent="0.35">
      <c r="P185" s="2" t="s">
        <v>295</v>
      </c>
      <c r="AB185" s="2" t="s">
        <v>296</v>
      </c>
    </row>
    <row r="186" spans="1:171" x14ac:dyDescent="0.35">
      <c r="AB186" s="34" t="s">
        <v>297</v>
      </c>
      <c r="AN186" s="34" t="s">
        <v>297</v>
      </c>
    </row>
  </sheetData>
  <sheetProtection formatCells="0" formatColumns="0" formatRows="0"/>
  <mergeCells count="5">
    <mergeCell ref="AB5:AL5"/>
    <mergeCell ref="AN5:AY5"/>
    <mergeCell ref="A4:C4"/>
    <mergeCell ref="D5:N5"/>
    <mergeCell ref="P5:Z5"/>
  </mergeCells>
  <pageMargins left="0.7" right="0.7" top="0.75" bottom="0.75" header="0.3" footer="0.3"/>
  <pageSetup paperSize="5" scale="30" orientation="landscape" r:id="rId1"/>
  <rowBreaks count="1" manualBreakCount="1">
    <brk id="1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1" ma:contentTypeDescription="Create a new document." ma:contentTypeScope="" ma:versionID="9584dc229b4fe3a1aed5bd2f54107553">
  <xsd:schema xmlns:xsd="http://www.w3.org/2001/XMLSchema" xmlns:xs="http://www.w3.org/2001/XMLSchema" xmlns:p="http://schemas.microsoft.com/office/2006/metadata/properties" xmlns:ns2="5539627f-a073-49ae-920d-28f8649be131" xmlns:ns3="898c3d9e-a56e-434b-bb6a-7c6f06128eeb" targetNamespace="http://schemas.microsoft.com/office/2006/metadata/properties" ma:root="true" ma:fieldsID="0aeebdda06745d56e337d23a5478f2fc" ns2:_="" ns3:_="">
    <xsd:import namespace="5539627f-a073-49ae-920d-28f8649be131"/>
    <xsd:import namespace="898c3d9e-a56e-434b-bb6a-7c6f06128e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B9D18-25E9-4F22-92A3-DCDDC7F06A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BFB9D1-7D3E-49FD-9DE4-F0F908FCADC8}">
  <ds:schemaRefs>
    <ds:schemaRef ds:uri="5539627f-a073-49ae-920d-28f8649be131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898c3d9e-a56e-434b-bb6a-7c6f06128eeb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2A8FD3-F7FA-4113-8242-8978DBD78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9627f-a073-49ae-920d-28f8649be131"/>
    <ds:schemaRef ds:uri="898c3d9e-a56e-434b-bb6a-7c6f06128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GSA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Stockton, Weiwen</dc:creator>
  <cp:keywords/>
  <dc:description/>
  <cp:lastModifiedBy>Layne, Cynthia</cp:lastModifiedBy>
  <cp:revision/>
  <dcterms:created xsi:type="dcterms:W3CDTF">2021-05-19T20:44:27Z</dcterms:created>
  <dcterms:modified xsi:type="dcterms:W3CDTF">2021-07-28T16:04:28Z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</Properties>
</file>