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ihs\DSDW\A team\States\Arizona\Arizona Extension Application\Approval Package\"/>
    </mc:Choice>
  </mc:AlternateContent>
  <bookViews>
    <workbookView xWindow="0" yWindow="210" windowWidth="15300" windowHeight="7560" activeTab="1"/>
  </bookViews>
  <sheets>
    <sheet name="2014-2016" sheetId="1" r:id="rId1"/>
    <sheet name="2017-2021" sheetId="2" r:id="rId2"/>
  </sheets>
  <externalReferences>
    <externalReference r:id="rId3"/>
    <externalReference r:id="rId4"/>
    <externalReference r:id="rId5"/>
    <externalReference r:id="rId6"/>
  </externalReferences>
  <definedNames>
    <definedName name="_xlnm.Print_Area" localSheetId="0">'2014-2016'!$A$1:$K$23</definedName>
    <definedName name="_xlnm.Print_Area" localSheetId="1">'2017-2021'!$A$1:$N$25</definedName>
  </definedNames>
  <calcPr calcId="152511"/>
</workbook>
</file>

<file path=xl/calcChain.xml><?xml version="1.0" encoding="utf-8"?>
<calcChain xmlns="http://schemas.openxmlformats.org/spreadsheetml/2006/main">
  <c r="H15" i="1" l="1"/>
  <c r="D14" i="2" l="1"/>
  <c r="L5" i="2" l="1"/>
  <c r="J5" i="2"/>
  <c r="H5" i="2"/>
  <c r="F5" i="2"/>
  <c r="H5" i="1"/>
  <c r="D5" i="2" l="1"/>
  <c r="D17" i="2" s="1"/>
  <c r="F14" i="2" l="1"/>
  <c r="F17" i="2" s="1"/>
  <c r="F15" i="1"/>
  <c r="D15" i="1"/>
  <c r="H8" i="1"/>
  <c r="D8" i="2" s="1"/>
  <c r="F8" i="1"/>
  <c r="D8" i="1"/>
  <c r="F5" i="1"/>
  <c r="D5" i="1"/>
  <c r="D18" i="1" l="1"/>
  <c r="F8" i="2"/>
  <c r="H11" i="1"/>
  <c r="H39" i="2"/>
  <c r="F39" i="2"/>
  <c r="D39" i="2"/>
  <c r="H8" i="2" l="1"/>
  <c r="N5" i="2"/>
  <c r="J8" i="2" l="1"/>
  <c r="D11" i="2"/>
  <c r="D20" i="2" s="1"/>
  <c r="D21" i="2" s="1"/>
  <c r="L8" i="2" l="1"/>
  <c r="F11" i="2"/>
  <c r="F20" i="2" s="1"/>
  <c r="F21" i="2" s="1"/>
  <c r="H11" i="2" l="1"/>
  <c r="J11" i="2" l="1"/>
  <c r="L11" i="2"/>
  <c r="H14" i="2" l="1"/>
  <c r="H17" i="2" s="1"/>
  <c r="N11" i="2"/>
  <c r="N8" i="2" s="1"/>
  <c r="H20" i="2" l="1"/>
  <c r="H21" i="2" s="1"/>
  <c r="J5" i="1"/>
  <c r="J14" i="2" l="1"/>
  <c r="J17" i="2" s="1"/>
  <c r="D11" i="1"/>
  <c r="J20" i="2" l="1"/>
  <c r="J21" i="2" s="1"/>
  <c r="D21" i="1"/>
  <c r="D22" i="1" s="1"/>
  <c r="F11" i="1"/>
  <c r="F21" i="1" l="1"/>
  <c r="F22" i="1" s="1"/>
  <c r="H18" i="1"/>
  <c r="J11" i="1"/>
  <c r="J8" i="1" s="1"/>
  <c r="H21" i="1" l="1"/>
  <c r="H22" i="1" s="1"/>
  <c r="F18" i="1"/>
  <c r="J15" i="1"/>
  <c r="J21" i="1" s="1"/>
  <c r="C19" i="2" s="1"/>
  <c r="D22" i="2" s="1"/>
  <c r="F22" i="2" s="1"/>
  <c r="L14" i="2" l="1"/>
  <c r="L17" i="2" s="1"/>
  <c r="H22" i="2" l="1"/>
  <c r="L20" i="2"/>
  <c r="N14" i="2"/>
  <c r="J22" i="2" l="1"/>
  <c r="L21" i="2"/>
  <c r="L22" i="2" l="1"/>
  <c r="N22" i="2" s="1"/>
</calcChain>
</file>

<file path=xl/comments1.xml><?xml version="1.0" encoding="utf-8"?>
<comments xmlns="http://schemas.openxmlformats.org/spreadsheetml/2006/main">
  <authors>
    <author>Megan Lepore</author>
  </authors>
  <commentList>
    <comment ref="N22" authorId="0" shapeId="0">
      <text>
        <r>
          <rPr>
            <b/>
            <sz val="9"/>
            <color indexed="81"/>
            <rFont val="Tahoma"/>
            <charset val="1"/>
          </rPr>
          <t>Megan Lepore:</t>
        </r>
        <r>
          <rPr>
            <sz val="9"/>
            <color indexed="81"/>
            <rFont val="Tahoma"/>
            <charset val="1"/>
          </rPr>
          <t xml:space="preserve">
Per STC 79(c) "c. The State will not be allowed to obtain budget neutrality “savings” from this population." Any variance and phasedown here will be removed in the spreadsheet of record and not considered in state's total variance.</t>
        </r>
      </text>
    </comment>
  </commentList>
</comments>
</file>

<file path=xl/sharedStrings.xml><?xml version="1.0" encoding="utf-8"?>
<sst xmlns="http://schemas.openxmlformats.org/spreadsheetml/2006/main" count="49" uniqueCount="25">
  <si>
    <t>Estimate</t>
  </si>
  <si>
    <t>Without Waiver</t>
  </si>
  <si>
    <t>Expenditure Limit Calculation</t>
  </si>
  <si>
    <t>DY 3</t>
  </si>
  <si>
    <t>DY 4</t>
  </si>
  <si>
    <t>DY 5</t>
  </si>
  <si>
    <t>Total</t>
  </si>
  <si>
    <t>Member Months</t>
  </si>
  <si>
    <t>Without Waiver PMPM</t>
  </si>
  <si>
    <t>Without Waiver Expenditure Limit</t>
  </si>
  <si>
    <t>With Waiver Expenditures</t>
  </si>
  <si>
    <t>With Waiver Expenditure PMPMs</t>
  </si>
  <si>
    <t>Budget Neutrality Variance</t>
  </si>
  <si>
    <t>Cumulative Variance</t>
  </si>
  <si>
    <t xml:space="preserve">Newly Eligible Adults </t>
  </si>
  <si>
    <t>DY 6</t>
  </si>
  <si>
    <t>DY 7</t>
  </si>
  <si>
    <t>DY 8</t>
  </si>
  <si>
    <t>DY 9</t>
  </si>
  <si>
    <t>DY 10</t>
  </si>
  <si>
    <t>DY1-DY5 BN Carry-over</t>
  </si>
  <si>
    <t>DY6-DY10 BN Variance</t>
  </si>
  <si>
    <t>Phase-Down of DY6-DY10  Variance</t>
  </si>
  <si>
    <t>Cumulative DY-DY10 Variance</t>
  </si>
  <si>
    <t>TWG MM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</si>
</sst>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_);_(* \(#,##0\);_(* &quot;-&quot;??_);_(@_)"/>
    <numFmt numFmtId="165" formatCode="0.000%"/>
    <numFmt numFmtId="166" formatCode="_(* #,##0.00000_);_(* \(#,##0.00000\);_(* &quot;-&quot;??_);_(@_)"/>
    <numFmt numFmtId="167" formatCode="0.0%"/>
    <numFmt numFmtId="168" formatCode="0.0000%"/>
    <numFmt numFmtId="169" formatCode="_(* #,##0.000_);_(* \(#,##0.000\);_(* &quot;-&quot;??_);_(@_)"/>
  </numFmts>
  <fonts count="5" x14ac:knownFonts="1">
    <font>
      <sz val="10"/>
      <name val="Arial"/>
      <family val="2"/>
    </font>
    <font>
      <sz val="10"/>
      <name val="Arial"/>
      <family val="2"/>
    </font>
    <font>
      <b/>
      <sz val="10"/>
      <name val="Arial"/>
      <family val="2"/>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6">
    <xf numFmtId="0" fontId="0" fillId="0" borderId="0" xfId="0"/>
    <xf numFmtId="0" fontId="2" fillId="0" borderId="0" xfId="0" applyFont="1" applyFill="1"/>
    <xf numFmtId="0" fontId="0" fillId="0" borderId="0" xfId="0" applyFill="1"/>
    <xf numFmtId="0" fontId="0" fillId="0" borderId="0" xfId="0" applyFill="1" applyAlignment="1">
      <alignment horizontal="center"/>
    </xf>
    <xf numFmtId="9" fontId="0" fillId="0" borderId="0" xfId="0" applyNumberFormat="1" applyFill="1"/>
    <xf numFmtId="0" fontId="0" fillId="0" borderId="0" xfId="0" applyFill="1" applyBorder="1" applyAlignment="1">
      <alignment horizontal="center"/>
    </xf>
    <xf numFmtId="0" fontId="0" fillId="0" borderId="1" xfId="0" applyFill="1" applyBorder="1" applyAlignment="1">
      <alignment horizontal="center"/>
    </xf>
    <xf numFmtId="164" fontId="1" fillId="0" borderId="0" xfId="1" applyNumberFormat="1" applyFill="1"/>
    <xf numFmtId="164" fontId="0" fillId="0" borderId="0" xfId="0" applyNumberFormat="1" applyFill="1"/>
    <xf numFmtId="44" fontId="0" fillId="0" borderId="0" xfId="0" applyNumberFormat="1" applyFill="1"/>
    <xf numFmtId="164" fontId="1" fillId="0" borderId="0" xfId="1" applyNumberFormat="1" applyFill="1" applyBorder="1"/>
    <xf numFmtId="10" fontId="1" fillId="0" borderId="0" xfId="2" applyNumberFormat="1" applyFill="1"/>
    <xf numFmtId="43" fontId="1" fillId="0" borderId="0" xfId="1" applyNumberFormat="1" applyFill="1"/>
    <xf numFmtId="10" fontId="0" fillId="0" borderId="0" xfId="2" applyNumberFormat="1" applyFont="1" applyFill="1"/>
    <xf numFmtId="165" fontId="1" fillId="0" borderId="0" xfId="2" applyNumberFormat="1" applyFill="1"/>
    <xf numFmtId="43" fontId="1" fillId="0" borderId="0" xfId="1" applyNumberFormat="1" applyFill="1" applyBorder="1"/>
    <xf numFmtId="43" fontId="0" fillId="0" borderId="0" xfId="0" applyNumberFormat="1" applyFill="1"/>
    <xf numFmtId="166" fontId="1" fillId="0" borderId="0" xfId="1" applyNumberFormat="1" applyFill="1"/>
    <xf numFmtId="43" fontId="1" fillId="0" borderId="0" xfId="1" applyFill="1"/>
    <xf numFmtId="0" fontId="0" fillId="0" borderId="0" xfId="0" applyFill="1" applyBorder="1"/>
    <xf numFmtId="164" fontId="0" fillId="0" borderId="0" xfId="0" applyNumberFormat="1" applyFill="1" applyBorder="1"/>
    <xf numFmtId="164" fontId="0" fillId="0" borderId="0" xfId="1" applyNumberFormat="1" applyFont="1" applyFill="1"/>
    <xf numFmtId="164" fontId="1" fillId="0" borderId="0" xfId="1" applyNumberFormat="1" applyFont="1" applyFill="1"/>
    <xf numFmtId="164" fontId="0" fillId="0" borderId="0" xfId="0" applyNumberFormat="1" applyFill="1" applyAlignment="1">
      <alignment horizontal="right"/>
    </xf>
    <xf numFmtId="164" fontId="2" fillId="0" borderId="0" xfId="1" applyNumberFormat="1" applyFont="1" applyFill="1"/>
    <xf numFmtId="164" fontId="1" fillId="0" borderId="0" xfId="2" applyNumberFormat="1" applyFill="1"/>
    <xf numFmtId="164" fontId="2" fillId="0" borderId="0" xfId="0" applyNumberFormat="1" applyFont="1" applyFill="1"/>
    <xf numFmtId="167" fontId="1" fillId="0" borderId="0" xfId="2" applyNumberFormat="1" applyFill="1"/>
    <xf numFmtId="168" fontId="1" fillId="0" borderId="0" xfId="2" applyNumberFormat="1" applyFill="1"/>
    <xf numFmtId="43" fontId="1" fillId="0" borderId="0" xfId="2" applyNumberFormat="1" applyFill="1"/>
    <xf numFmtId="167" fontId="0" fillId="0" borderId="0" xfId="2" applyNumberFormat="1" applyFont="1" applyFill="1"/>
    <xf numFmtId="0" fontId="1" fillId="0" borderId="0" xfId="0" applyFont="1" applyFill="1"/>
    <xf numFmtId="169" fontId="1" fillId="0" borderId="0" xfId="1" applyNumberFormat="1" applyFill="1"/>
    <xf numFmtId="167" fontId="0" fillId="0" borderId="0" xfId="2" applyNumberFormat="1" applyFont="1" applyFill="1" applyBorder="1"/>
    <xf numFmtId="10" fontId="0" fillId="0" borderId="0" xfId="2" applyNumberFormat="1" applyFont="1" applyFill="1" applyBorder="1"/>
    <xf numFmtId="167" fontId="1" fillId="0" borderId="0" xfId="2" applyNumberForma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REPORTIN\HCFA%20Budget%20Neutrality\Quarterly%20Tracking\FFY%202016\201606%20Quarterly%20Tracking%20Jun'16%20Qtr%20W002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UD\SHARE\FY18%20Prog\BN%20Update\WOW%20Limit%20MM%20and%20Calc%209-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BUD\SHARE\FY18%20Prog\BN%20Update\With%20Waiver%20Expenditure%209-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BUD\SHARE\FY18%20Prog\ACA\NEA%20Budget%20SFY1718%200616noGrA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Calculation"/>
      <sheetName val="II. Variance"/>
      <sheetName val="III. Summary"/>
      <sheetName val="III.b. Summary by Elg Grp"/>
      <sheetName val="IV. Schedule C as Adjusted"/>
      <sheetName val="IV.b. Schedule C Adj Detail"/>
      <sheetName val="V. MM and Premiums"/>
      <sheetName val="VI. DSH Allocation"/>
      <sheetName val="VII. New Adult Group"/>
      <sheetName val="VIII. GME Allocation"/>
      <sheetName val="MBES Schedule A Jun2016"/>
      <sheetName val="Reported this Qtr by Waiv by DY"/>
      <sheetName val="MBES Schedule C June2016"/>
      <sheetName val="MBES Schedule C Mar2016"/>
      <sheetName val="Variance Comparison Qtr ovr Qtr"/>
      <sheetName val="CAH (8)"/>
      <sheetName val="DSH-MIHS (22)"/>
      <sheetName val="DSH-ASH (23)"/>
      <sheetName val="DSH-Private (24a)"/>
      <sheetName val="DSH-Private Refunds (24b)"/>
      <sheetName val="Sheet1"/>
    </sheetNames>
    <sheetDataSet>
      <sheetData sheetId="0">
        <row r="18">
          <cell r="F18">
            <v>585.2796800000001</v>
          </cell>
        </row>
      </sheetData>
      <sheetData sheetId="1"/>
      <sheetData sheetId="2"/>
      <sheetData sheetId="3"/>
      <sheetData sheetId="4">
        <row r="16">
          <cell r="C16">
            <v>917872804</v>
          </cell>
        </row>
      </sheetData>
      <sheetData sheetId="5"/>
      <sheetData sheetId="6"/>
      <sheetData sheetId="7">
        <row r="13">
          <cell r="E13">
            <v>103890985</v>
          </cell>
        </row>
      </sheetData>
      <sheetData sheetId="8">
        <row r="21">
          <cell r="F21">
            <v>578.54</v>
          </cell>
          <cell r="T21">
            <v>248598</v>
          </cell>
        </row>
        <row r="29">
          <cell r="F29">
            <v>605.73137999999994</v>
          </cell>
          <cell r="T29">
            <v>871458</v>
          </cell>
        </row>
        <row r="37">
          <cell r="F37">
            <v>634.20075485999985</v>
          </cell>
          <cell r="T37">
            <v>973918</v>
          </cell>
        </row>
        <row r="54">
          <cell r="J54">
            <v>13870414</v>
          </cell>
        </row>
        <row r="55">
          <cell r="J55">
            <v>34313342</v>
          </cell>
        </row>
        <row r="56">
          <cell r="J56">
            <v>47984458</v>
          </cell>
        </row>
        <row r="58">
          <cell r="J58">
            <v>46004135</v>
          </cell>
        </row>
        <row r="59">
          <cell r="J59">
            <v>70387348</v>
          </cell>
        </row>
        <row r="60">
          <cell r="J60">
            <v>85319153</v>
          </cell>
        </row>
        <row r="61">
          <cell r="J61">
            <v>97948283</v>
          </cell>
        </row>
        <row r="63">
          <cell r="J63">
            <v>113800738</v>
          </cell>
        </row>
        <row r="64">
          <cell r="J64">
            <v>122290142</v>
          </cell>
        </row>
        <row r="65">
          <cell r="J65">
            <v>123158494</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it MM by Month"/>
      <sheetName val="Limit MM by Quarter"/>
      <sheetName val="Limit MM by Year"/>
    </sheetNames>
    <sheetDataSet>
      <sheetData sheetId="0"/>
      <sheetData sheetId="1">
        <row r="3">
          <cell r="B3">
            <v>3315301.327481769</v>
          </cell>
          <cell r="J3">
            <v>261419.87325074925</v>
          </cell>
        </row>
      </sheetData>
      <sheetData sheetId="2">
        <row r="4">
          <cell r="B4">
            <v>13448230.291342055</v>
          </cell>
          <cell r="J4">
            <v>1090784.0603709186</v>
          </cell>
        </row>
        <row r="5">
          <cell r="J5">
            <v>1162970.686983106</v>
          </cell>
        </row>
        <row r="6">
          <cell r="J6">
            <v>1235157.3135952933</v>
          </cell>
        </row>
        <row r="7">
          <cell r="J7">
            <v>1307343.9402074809</v>
          </cell>
        </row>
        <row r="8">
          <cell r="J8">
            <v>1379530.566819668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by Month"/>
      <sheetName val="Exp by Quarter"/>
      <sheetName val="Exp by Year"/>
    </sheetNames>
    <sheetDataSet>
      <sheetData sheetId="0"/>
      <sheetData sheetId="1">
        <row r="3">
          <cell r="AS3">
            <v>110129500</v>
          </cell>
        </row>
      </sheetData>
      <sheetData sheetId="2">
        <row r="3">
          <cell r="AG3">
            <v>1048050459.7533906</v>
          </cell>
        </row>
        <row r="4">
          <cell r="AS4">
            <v>461279900</v>
          </cell>
        </row>
        <row r="5">
          <cell r="AS5">
            <v>496165279.35699666</v>
          </cell>
        </row>
        <row r="6">
          <cell r="AS6">
            <v>538104399.51231229</v>
          </cell>
        </row>
        <row r="7">
          <cell r="AS7">
            <v>591914839.46354353</v>
          </cell>
        </row>
        <row r="8">
          <cell r="AS8">
            <v>651106323.40989804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p w Base Mod"/>
      <sheetName val="EXPEND15"/>
      <sheetName val="Approp"/>
      <sheetName val="EXPEND16"/>
      <sheetName val="EXPEND17"/>
      <sheetName val="EXPEND18"/>
      <sheetName val="Rates"/>
      <sheetName val="NEA Cap"/>
      <sheetName val="NEA PP Cap"/>
      <sheetName val="NEA Births Cap"/>
      <sheetName val="NEA Births"/>
      <sheetName val="NEA MM"/>
      <sheetName val="NEA Births G"/>
      <sheetName val="Newly Elig Adults"/>
      <sheetName val="NEA G"/>
      <sheetName val="Seas Factors AC"/>
      <sheetName val="% Growth"/>
      <sheetName val="NEA MM by Gender"/>
      <sheetName val="EXPEND14"/>
      <sheetName val="Newly Elig Adults (2)"/>
      <sheetName val="NEA REG DOS MM AMT"/>
      <sheetName val="NEA PP DOS MM"/>
    </sheetNames>
    <sheetDataSet>
      <sheetData sheetId="0"/>
      <sheetData sheetId="1"/>
      <sheetData sheetId="2"/>
      <sheetData sheetId="3"/>
      <sheetData sheetId="4">
        <row r="8">
          <cell r="H8">
            <v>15887800</v>
          </cell>
          <cell r="J8">
            <v>1374300</v>
          </cell>
        </row>
      </sheetData>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zoomScaleNormal="100" workbookViewId="0">
      <selection activeCell="H24" sqref="H24"/>
    </sheetView>
  </sheetViews>
  <sheetFormatPr defaultColWidth="9.140625" defaultRowHeight="12.75" x14ac:dyDescent="0.2"/>
  <cols>
    <col min="1" max="1" width="8.7109375" style="2" customWidth="1"/>
    <col min="2" max="2" width="21.7109375" style="2" customWidth="1"/>
    <col min="3" max="3" width="0.85546875" style="2" customWidth="1"/>
    <col min="4" max="4" width="16.7109375" style="2" customWidth="1"/>
    <col min="5" max="5" width="0.85546875" style="2" customWidth="1"/>
    <col min="6" max="6" width="16.7109375" style="2" customWidth="1"/>
    <col min="7" max="7" width="0.85546875" style="2" customWidth="1"/>
    <col min="8" max="8" width="16.7109375" style="2" customWidth="1"/>
    <col min="9" max="9" width="0.85546875" style="2" customWidth="1"/>
    <col min="10" max="10" width="16.7109375" style="2" customWidth="1"/>
    <col min="11" max="11" width="10" style="2" customWidth="1"/>
    <col min="12" max="12" width="14.7109375" style="2" customWidth="1"/>
    <col min="13" max="13" width="14" style="2" customWidth="1"/>
    <col min="14" max="14" width="15.140625" style="2" customWidth="1"/>
    <col min="15" max="15" width="11" style="2" customWidth="1"/>
    <col min="16" max="16" width="10.85546875" style="2" customWidth="1"/>
    <col min="17" max="17" width="10.28515625" style="2" bestFit="1" customWidth="1"/>
    <col min="18" max="18" width="11.28515625" style="2" bestFit="1" customWidth="1"/>
    <col min="19" max="16384" width="9.140625" style="2"/>
  </cols>
  <sheetData>
    <row r="1" spans="1:24" x14ac:dyDescent="0.2">
      <c r="A1" s="1"/>
      <c r="C1" s="3"/>
      <c r="D1" s="3" t="s">
        <v>0</v>
      </c>
      <c r="E1" s="3"/>
      <c r="F1" s="3" t="s">
        <v>0</v>
      </c>
      <c r="G1" s="3"/>
      <c r="H1" s="3" t="s">
        <v>0</v>
      </c>
      <c r="I1" s="3"/>
      <c r="J1" s="3"/>
      <c r="O1" s="4"/>
    </row>
    <row r="2" spans="1:24" x14ac:dyDescent="0.2">
      <c r="A2" s="1" t="s">
        <v>1</v>
      </c>
      <c r="C2" s="5"/>
      <c r="D2" s="5">
        <v>2014</v>
      </c>
      <c r="E2" s="5"/>
      <c r="F2" s="5">
        <v>2015</v>
      </c>
      <c r="G2" s="5"/>
      <c r="H2" s="5">
        <v>2016</v>
      </c>
      <c r="I2" s="5"/>
      <c r="J2" s="5"/>
      <c r="O2" s="4"/>
    </row>
    <row r="3" spans="1:24" x14ac:dyDescent="0.2">
      <c r="A3" s="1" t="s">
        <v>2</v>
      </c>
      <c r="C3" s="5"/>
      <c r="D3" s="6" t="s">
        <v>3</v>
      </c>
      <c r="E3" s="5"/>
      <c r="F3" s="6" t="s">
        <v>4</v>
      </c>
      <c r="G3" s="5"/>
      <c r="H3" s="6" t="s">
        <v>5</v>
      </c>
      <c r="I3" s="5"/>
      <c r="J3" s="6" t="s">
        <v>6</v>
      </c>
      <c r="O3" s="4"/>
    </row>
    <row r="4" spans="1:24" x14ac:dyDescent="0.2">
      <c r="A4" s="2" t="s">
        <v>7</v>
      </c>
    </row>
    <row r="5" spans="1:24" x14ac:dyDescent="0.2">
      <c r="B5" s="2" t="s">
        <v>14</v>
      </c>
      <c r="C5" s="7"/>
      <c r="D5" s="7">
        <f>'[1]VII. New Adult Group'!$T$21</f>
        <v>248598</v>
      </c>
      <c r="E5" s="7"/>
      <c r="F5" s="7">
        <f>'[1]VII. New Adult Group'!$T$29</f>
        <v>871458</v>
      </c>
      <c r="G5" s="7"/>
      <c r="H5" s="7">
        <f>'[1]VII. New Adult Group'!$T$37+'[2]Limit MM by Quarter'!$J$3</f>
        <v>1235337.8732507492</v>
      </c>
      <c r="I5" s="7"/>
      <c r="J5" s="7">
        <f>D5+F5+H5</f>
        <v>2355393.873250749</v>
      </c>
      <c r="K5" s="7"/>
      <c r="L5" s="8"/>
      <c r="M5" s="9"/>
      <c r="N5" s="9"/>
      <c r="O5" s="9"/>
      <c r="P5" s="9"/>
      <c r="Q5" s="9"/>
    </row>
    <row r="6" spans="1:24" x14ac:dyDescent="0.2">
      <c r="C6" s="7"/>
      <c r="D6" s="8"/>
      <c r="E6" s="7"/>
      <c r="F6" s="8"/>
      <c r="G6" s="7"/>
      <c r="H6" s="8"/>
      <c r="I6" s="7"/>
      <c r="J6" s="7"/>
    </row>
    <row r="7" spans="1:24" x14ac:dyDescent="0.2">
      <c r="A7" s="2" t="s">
        <v>8</v>
      </c>
      <c r="C7" s="7"/>
      <c r="D7" s="29"/>
      <c r="E7" s="7"/>
      <c r="F7" s="18"/>
      <c r="G7" s="7"/>
      <c r="H7" s="18"/>
      <c r="I7" s="7"/>
      <c r="J7" s="11"/>
    </row>
    <row r="8" spans="1:24" x14ac:dyDescent="0.2">
      <c r="B8" s="2" t="s">
        <v>14</v>
      </c>
      <c r="C8" s="12"/>
      <c r="D8" s="12">
        <f>'[1]VII. New Adult Group'!$F$21</f>
        <v>578.54</v>
      </c>
      <c r="E8" s="12"/>
      <c r="F8" s="18">
        <f>'[1]VII. New Adult Group'!$F$29</f>
        <v>605.73137999999994</v>
      </c>
      <c r="G8" s="7"/>
      <c r="H8" s="18">
        <f>'[1]VII. New Adult Group'!$F$37</f>
        <v>634.20075485999985</v>
      </c>
      <c r="I8" s="12"/>
      <c r="J8" s="12">
        <f>J11/J5</f>
        <v>617.79289507606234</v>
      </c>
      <c r="K8" s="13"/>
      <c r="L8" s="11"/>
      <c r="M8" s="13"/>
      <c r="N8" s="11"/>
      <c r="O8" s="9"/>
      <c r="P8" s="14"/>
      <c r="Q8" s="9"/>
      <c r="R8" s="14"/>
      <c r="S8" s="9"/>
      <c r="T8" s="14"/>
      <c r="U8" s="9"/>
      <c r="V8" s="14"/>
      <c r="W8" s="9"/>
      <c r="X8" s="14"/>
    </row>
    <row r="9" spans="1:24" x14ac:dyDescent="0.2">
      <c r="C9" s="7"/>
      <c r="D9" s="17"/>
      <c r="E9" s="7"/>
      <c r="F9" s="17"/>
      <c r="G9" s="7"/>
      <c r="H9" s="17"/>
      <c r="I9" s="7"/>
      <c r="J9" s="18"/>
    </row>
    <row r="10" spans="1:24" x14ac:dyDescent="0.2">
      <c r="A10" s="2" t="s">
        <v>9</v>
      </c>
      <c r="C10" s="7"/>
      <c r="D10" s="17"/>
      <c r="E10" s="7"/>
      <c r="F10" s="17"/>
      <c r="G10" s="7"/>
      <c r="H10" s="17"/>
      <c r="I10" s="7"/>
      <c r="J10" s="7"/>
      <c r="L10" s="19"/>
    </row>
    <row r="11" spans="1:24" x14ac:dyDescent="0.2">
      <c r="B11" s="2" t="s">
        <v>14</v>
      </c>
      <c r="C11" s="7"/>
      <c r="D11" s="7">
        <f>ROUND((D5*D8),-2)</f>
        <v>143823900</v>
      </c>
      <c r="E11" s="7"/>
      <c r="F11" s="7">
        <f>ROUND((F5*F8),-2)</f>
        <v>527869500</v>
      </c>
      <c r="G11" s="7"/>
      <c r="H11" s="7">
        <f>ROUND((H5*H8),-2)</f>
        <v>783452200</v>
      </c>
      <c r="I11" s="7"/>
      <c r="J11" s="7">
        <f>D11+F11+H11</f>
        <v>1455145600</v>
      </c>
      <c r="K11" s="9"/>
      <c r="L11" s="20"/>
    </row>
    <row r="12" spans="1:24" x14ac:dyDescent="0.2">
      <c r="C12" s="7"/>
      <c r="E12" s="7"/>
      <c r="G12" s="7"/>
      <c r="I12" s="7"/>
      <c r="J12" s="7"/>
      <c r="L12" s="19"/>
    </row>
    <row r="13" spans="1:24" x14ac:dyDescent="0.2">
      <c r="D13" s="21"/>
      <c r="F13" s="21"/>
      <c r="H13" s="21"/>
      <c r="J13" s="8"/>
      <c r="L13" s="19"/>
    </row>
    <row r="14" spans="1:24" x14ac:dyDescent="0.2">
      <c r="A14" s="1" t="s">
        <v>10</v>
      </c>
      <c r="C14" s="7"/>
      <c r="D14" s="22"/>
      <c r="E14" s="7"/>
      <c r="F14" s="22"/>
      <c r="G14" s="7"/>
      <c r="H14" s="22"/>
      <c r="I14" s="7"/>
      <c r="J14" s="7"/>
      <c r="L14" s="19"/>
      <c r="O14" s="3"/>
      <c r="P14" s="3"/>
      <c r="Q14" s="3"/>
    </row>
    <row r="15" spans="1:24" x14ac:dyDescent="0.2">
      <c r="B15" s="2" t="s">
        <v>14</v>
      </c>
      <c r="C15" s="7"/>
      <c r="D15" s="7">
        <f>'[1]VII. New Adult Group'!$J$54+'[1]VII. New Adult Group'!$J$55+'[1]VII. New Adult Group'!$J$56</f>
        <v>96168214</v>
      </c>
      <c r="E15" s="7"/>
      <c r="F15" s="7">
        <f>'[1]VII. New Adult Group'!$J$58+'[1]VII. New Adult Group'!$J$59+'[1]VII. New Adult Group'!$J$60+'[1]VII. New Adult Group'!$J$61</f>
        <v>299658919</v>
      </c>
      <c r="G15" s="7"/>
      <c r="H15" s="7">
        <f>'[1]VII. New Adult Group'!$J$63+'[1]VII. New Adult Group'!$J$64+'[1]VII. New Adult Group'!$J$65+'[3]Exp by Quarter'!$AS$3+[4]EXPEND17!$H$8+[4]EXPEND17!$J$8</f>
        <v>486640974</v>
      </c>
      <c r="I15" s="7"/>
      <c r="J15" s="7">
        <f>D15+F15+H15</f>
        <v>882468107</v>
      </c>
      <c r="L15" s="20"/>
      <c r="M15" s="8"/>
      <c r="N15" s="23"/>
      <c r="O15" s="20"/>
      <c r="P15" s="8"/>
      <c r="Q15" s="20"/>
      <c r="R15" s="8"/>
    </row>
    <row r="16" spans="1:24" x14ac:dyDescent="0.2">
      <c r="C16" s="7"/>
      <c r="D16" s="8"/>
      <c r="E16" s="7"/>
      <c r="F16" s="8"/>
      <c r="G16" s="7"/>
      <c r="H16" s="8"/>
      <c r="I16" s="7"/>
      <c r="J16" s="10"/>
      <c r="L16" s="19"/>
    </row>
    <row r="17" spans="1:13" x14ac:dyDescent="0.2">
      <c r="A17" s="2" t="s">
        <v>11</v>
      </c>
      <c r="C17" s="7"/>
      <c r="D17" s="16"/>
      <c r="E17" s="7"/>
      <c r="F17" s="16"/>
      <c r="G17" s="7"/>
      <c r="H17" s="16"/>
      <c r="I17" s="7"/>
      <c r="J17" s="10"/>
    </row>
    <row r="18" spans="1:13" x14ac:dyDescent="0.2">
      <c r="B18" s="2" t="s">
        <v>14</v>
      </c>
      <c r="C18" s="7"/>
      <c r="D18" s="18">
        <f>D15/D5</f>
        <v>386.84226743577983</v>
      </c>
      <c r="E18" s="7"/>
      <c r="F18" s="18">
        <f>F15/F5</f>
        <v>343.85927835879642</v>
      </c>
      <c r="G18" s="7"/>
      <c r="H18" s="18">
        <f>H15/H5</f>
        <v>393.9335015443354</v>
      </c>
      <c r="I18" s="7"/>
      <c r="J18" s="18"/>
      <c r="K18" s="11"/>
    </row>
    <row r="19" spans="1:13" x14ac:dyDescent="0.2">
      <c r="C19" s="7"/>
      <c r="D19" s="15"/>
      <c r="E19" s="10"/>
      <c r="F19" s="15"/>
      <c r="G19" s="10"/>
      <c r="H19" s="15"/>
      <c r="I19" s="7"/>
      <c r="J19" s="18"/>
      <c r="K19" s="11"/>
      <c r="L19" s="7"/>
    </row>
    <row r="20" spans="1:13" x14ac:dyDescent="0.2">
      <c r="C20" s="7"/>
      <c r="D20" s="7"/>
      <c r="E20" s="7"/>
      <c r="F20" s="7"/>
      <c r="G20" s="7"/>
      <c r="H20" s="7"/>
      <c r="I20" s="7"/>
      <c r="J20" s="7"/>
      <c r="L20" s="7"/>
    </row>
    <row r="21" spans="1:13" x14ac:dyDescent="0.2">
      <c r="A21" s="1" t="s">
        <v>12</v>
      </c>
      <c r="C21" s="7"/>
      <c r="D21" s="7">
        <f>D11-D15</f>
        <v>47655686</v>
      </c>
      <c r="E21" s="7"/>
      <c r="F21" s="7">
        <f>F11-F15</f>
        <v>228210581</v>
      </c>
      <c r="G21" s="7"/>
      <c r="H21" s="7">
        <f>H11-H15</f>
        <v>296811226</v>
      </c>
      <c r="I21" s="7"/>
      <c r="J21" s="24">
        <f>J11-J15</f>
        <v>572677493</v>
      </c>
      <c r="K21" s="24"/>
      <c r="L21" s="22"/>
      <c r="M21" s="25"/>
    </row>
    <row r="22" spans="1:13" x14ac:dyDescent="0.2">
      <c r="A22" s="1" t="s">
        <v>13</v>
      </c>
      <c r="C22" s="7"/>
      <c r="D22" s="8">
        <f>D21</f>
        <v>47655686</v>
      </c>
      <c r="E22" s="7"/>
      <c r="F22" s="8">
        <f>F21+D22</f>
        <v>275866267</v>
      </c>
      <c r="G22" s="7"/>
      <c r="H22" s="8">
        <f>H21+F22</f>
        <v>572677493</v>
      </c>
      <c r="I22" s="7"/>
      <c r="J22" s="26"/>
      <c r="K22" s="8"/>
      <c r="L22" s="7"/>
      <c r="M22" s="8"/>
    </row>
    <row r="23" spans="1:13" x14ac:dyDescent="0.2">
      <c r="A23" s="1"/>
      <c r="C23" s="7"/>
      <c r="D23" s="8"/>
      <c r="E23" s="7"/>
      <c r="F23" s="8"/>
      <c r="G23" s="7"/>
      <c r="H23" s="8"/>
      <c r="I23" s="7"/>
      <c r="J23" s="8"/>
      <c r="K23" s="8"/>
      <c r="L23" s="7"/>
    </row>
  </sheetData>
  <printOptions horizontalCentered="1"/>
  <pageMargins left="0.7" right="0.7" top="1.25" bottom="0.5" header="0.3" footer="0.3"/>
  <pageSetup scale="83" orientation="portrait" r:id="rId1"/>
  <headerFooter alignWithMargins="0">
    <oddHeader xml:space="preserve">&amp;C&amp;"Arial,Bold"Arizona Health Care Cost Containment System
Budget Neutrality Status by Federal Fiscal Year
NEWLY ELIGIBLE ADULTS
For the Period January 1, 2014 - September 30, 2016
</oddHeader>
    <oddFooter>&amp;L&amp;8 DBF  &amp;D    &amp;T&amp;R&amp;8S:\BUD\SHARE\FY18 Prog\BN Update\2012 -2021 Newly Eligible Adult BN Model - September 2016.xlsx</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4"/>
  <sheetViews>
    <sheetView tabSelected="1" zoomScale="75" zoomScaleNormal="75" workbookViewId="0">
      <selection activeCell="P6" sqref="P6"/>
    </sheetView>
  </sheetViews>
  <sheetFormatPr defaultColWidth="9.140625" defaultRowHeight="12.75" x14ac:dyDescent="0.2"/>
  <cols>
    <col min="1" max="1" width="8.7109375" style="2" customWidth="1"/>
    <col min="2" max="2" width="21.7109375" style="2" customWidth="1"/>
    <col min="3" max="3" width="16.42578125" style="2" customWidth="1"/>
    <col min="4" max="4" width="16.5703125" style="2" bestFit="1" customWidth="1"/>
    <col min="5" max="5" width="0.85546875" style="2" customWidth="1"/>
    <col min="6" max="6" width="16.5703125" style="2" bestFit="1" customWidth="1"/>
    <col min="7" max="7" width="0.85546875" style="2" customWidth="1"/>
    <col min="8" max="8" width="16.5703125" style="2" bestFit="1" customWidth="1"/>
    <col min="9" max="9" width="0.85546875" style="2" customWidth="1"/>
    <col min="10" max="10" width="16.5703125" style="2" bestFit="1" customWidth="1"/>
    <col min="11" max="11" width="0.85546875" style="2" customWidth="1"/>
    <col min="12" max="12" width="16.5703125" style="2" bestFit="1" customWidth="1"/>
    <col min="13" max="13" width="0.85546875" style="2" customWidth="1"/>
    <col min="14" max="14" width="20.140625" style="2" bestFit="1" customWidth="1"/>
    <col min="15" max="15" width="19.42578125" style="2" customWidth="1"/>
    <col min="16" max="16" width="14.7109375" style="2" customWidth="1"/>
    <col min="17" max="17" width="14" style="2" customWidth="1"/>
    <col min="18" max="18" width="15.140625" style="2" customWidth="1"/>
    <col min="19" max="19" width="11" style="2" customWidth="1"/>
    <col min="20" max="20" width="10.85546875" style="2" customWidth="1"/>
    <col min="21" max="21" width="10.28515625" style="2" bestFit="1" customWidth="1"/>
    <col min="22" max="22" width="11.28515625" style="2" bestFit="1" customWidth="1"/>
    <col min="23" max="16384" width="9.140625" style="2"/>
  </cols>
  <sheetData>
    <row r="1" spans="1:28" x14ac:dyDescent="0.2">
      <c r="A1" s="1"/>
      <c r="C1" s="3"/>
      <c r="D1" s="3" t="s">
        <v>0</v>
      </c>
      <c r="E1" s="3"/>
      <c r="F1" s="3" t="s">
        <v>0</v>
      </c>
      <c r="G1" s="3"/>
      <c r="H1" s="3" t="s">
        <v>0</v>
      </c>
      <c r="I1" s="3"/>
      <c r="J1" s="3" t="s">
        <v>0</v>
      </c>
      <c r="K1" s="3"/>
      <c r="L1" s="3" t="s">
        <v>0</v>
      </c>
      <c r="M1" s="3"/>
      <c r="N1" s="3"/>
      <c r="P1" s="3"/>
      <c r="S1" s="4"/>
    </row>
    <row r="2" spans="1:28" x14ac:dyDescent="0.2">
      <c r="A2" s="1" t="s">
        <v>1</v>
      </c>
      <c r="C2" s="5"/>
      <c r="D2" s="5">
        <v>2017</v>
      </c>
      <c r="E2" s="5"/>
      <c r="F2" s="5">
        <v>2018</v>
      </c>
      <c r="G2" s="5"/>
      <c r="H2" s="5">
        <v>2019</v>
      </c>
      <c r="I2" s="5"/>
      <c r="J2" s="5">
        <v>2020</v>
      </c>
      <c r="K2" s="5"/>
      <c r="L2" s="5">
        <v>2021</v>
      </c>
      <c r="M2" s="5"/>
      <c r="N2" s="5"/>
      <c r="S2" s="4"/>
    </row>
    <row r="3" spans="1:28" x14ac:dyDescent="0.2">
      <c r="A3" s="1" t="s">
        <v>2</v>
      </c>
      <c r="C3" s="5"/>
      <c r="D3" s="6" t="s">
        <v>15</v>
      </c>
      <c r="E3" s="5"/>
      <c r="F3" s="6" t="s">
        <v>16</v>
      </c>
      <c r="G3" s="5"/>
      <c r="H3" s="6" t="s">
        <v>17</v>
      </c>
      <c r="I3" s="5"/>
      <c r="J3" s="6" t="s">
        <v>18</v>
      </c>
      <c r="K3" s="5"/>
      <c r="L3" s="6" t="s">
        <v>19</v>
      </c>
      <c r="M3" s="5"/>
      <c r="N3" s="6" t="s">
        <v>6</v>
      </c>
      <c r="S3" s="4"/>
    </row>
    <row r="4" spans="1:28" x14ac:dyDescent="0.2">
      <c r="A4" s="2" t="s">
        <v>7</v>
      </c>
    </row>
    <row r="5" spans="1:28" x14ac:dyDescent="0.2">
      <c r="B5" s="2" t="s">
        <v>14</v>
      </c>
      <c r="C5" s="7"/>
      <c r="D5" s="7">
        <f>'[2]Limit MM by Year'!$J$4</f>
        <v>1090784.0603709186</v>
      </c>
      <c r="E5" s="7"/>
      <c r="F5" s="7">
        <f>'[2]Limit MM by Year'!$J$5</f>
        <v>1162970.686983106</v>
      </c>
      <c r="G5" s="7"/>
      <c r="H5" s="7">
        <f>'[2]Limit MM by Year'!$J$6</f>
        <v>1235157.3135952933</v>
      </c>
      <c r="I5" s="7"/>
      <c r="J5" s="7">
        <f>'[2]Limit MM by Year'!$J$7</f>
        <v>1307343.9402074809</v>
      </c>
      <c r="K5" s="7"/>
      <c r="L5" s="7">
        <f>'[2]Limit MM by Year'!$J$8</f>
        <v>1379530.566819668</v>
      </c>
      <c r="M5" s="7"/>
      <c r="N5" s="7">
        <f>SUM(D5:L5)</f>
        <v>6175786.5679764673</v>
      </c>
      <c r="O5" s="7"/>
      <c r="P5" s="30"/>
      <c r="Q5" s="9"/>
      <c r="R5" s="9"/>
      <c r="S5" s="9"/>
      <c r="T5" s="9"/>
      <c r="U5" s="9"/>
    </row>
    <row r="6" spans="1:28" x14ac:dyDescent="0.2">
      <c r="C6" s="7"/>
      <c r="D6" s="8"/>
      <c r="E6" s="7"/>
      <c r="F6" s="30"/>
      <c r="G6" s="7"/>
      <c r="H6" s="30"/>
      <c r="I6" s="7"/>
      <c r="J6" s="30"/>
      <c r="K6" s="7"/>
      <c r="L6" s="30"/>
      <c r="M6" s="7"/>
      <c r="N6" s="30"/>
    </row>
    <row r="7" spans="1:28" x14ac:dyDescent="0.2">
      <c r="A7" s="2" t="s">
        <v>8</v>
      </c>
      <c r="C7" s="7"/>
      <c r="D7" s="11"/>
      <c r="E7" s="7"/>
      <c r="F7" s="11"/>
      <c r="G7" s="7"/>
      <c r="H7" s="11"/>
      <c r="I7" s="7"/>
      <c r="J7" s="11"/>
      <c r="K7" s="7"/>
      <c r="L7" s="11"/>
      <c r="M7" s="7"/>
      <c r="N7" s="11"/>
    </row>
    <row r="8" spans="1:28" x14ac:dyDescent="0.2">
      <c r="B8" s="2" t="s">
        <v>14</v>
      </c>
      <c r="C8" s="12"/>
      <c r="D8" s="12">
        <f>ROUND(('2014-2016'!H8*1.033),2)</f>
        <v>655.13</v>
      </c>
      <c r="E8" s="12"/>
      <c r="F8" s="12">
        <f>ROUND((D8*1.033),2)</f>
        <v>676.75</v>
      </c>
      <c r="G8" s="12"/>
      <c r="H8" s="12">
        <f>ROUND((F8*1.033),2)</f>
        <v>699.08</v>
      </c>
      <c r="I8" s="12"/>
      <c r="J8" s="12">
        <f>ROUND((H8*1.033),2)</f>
        <v>722.15</v>
      </c>
      <c r="K8" s="12"/>
      <c r="L8" s="12">
        <f>ROUND((J8*1.033),2)</f>
        <v>745.98</v>
      </c>
      <c r="M8" s="12"/>
      <c r="N8" s="12">
        <f>N11/N5</f>
        <v>702.47249311163591</v>
      </c>
      <c r="O8" s="13"/>
      <c r="P8" s="11"/>
      <c r="Q8" s="13"/>
      <c r="R8" s="11"/>
      <c r="S8" s="9"/>
      <c r="T8" s="14"/>
      <c r="U8" s="9"/>
      <c r="V8" s="14"/>
      <c r="W8" s="9"/>
      <c r="X8" s="14"/>
      <c r="Y8" s="9"/>
      <c r="Z8" s="14"/>
      <c r="AA8" s="9"/>
      <c r="AB8" s="14"/>
    </row>
    <row r="9" spans="1:28" x14ac:dyDescent="0.2">
      <c r="C9" s="7"/>
      <c r="D9" s="32"/>
      <c r="E9" s="7"/>
      <c r="F9" s="17"/>
      <c r="G9" s="7"/>
      <c r="H9" s="17"/>
      <c r="I9" s="7"/>
      <c r="J9" s="17"/>
      <c r="K9" s="7"/>
      <c r="L9" s="17"/>
      <c r="M9" s="7"/>
      <c r="N9" s="18"/>
    </row>
    <row r="10" spans="1:28" x14ac:dyDescent="0.2">
      <c r="A10" s="2" t="s">
        <v>9</v>
      </c>
      <c r="C10" s="7"/>
      <c r="D10" s="17"/>
      <c r="E10" s="7"/>
      <c r="F10" s="17"/>
      <c r="G10" s="7"/>
      <c r="H10" s="17"/>
      <c r="I10" s="7"/>
      <c r="J10" s="17"/>
      <c r="K10" s="7"/>
      <c r="L10" s="17"/>
      <c r="M10" s="7"/>
      <c r="N10" s="7"/>
      <c r="P10" s="19"/>
    </row>
    <row r="11" spans="1:28" x14ac:dyDescent="0.2">
      <c r="B11" s="2" t="s">
        <v>14</v>
      </c>
      <c r="C11" s="7"/>
      <c r="D11" s="7">
        <f>D8*D5</f>
        <v>714605361.47079992</v>
      </c>
      <c r="E11" s="7"/>
      <c r="F11" s="7">
        <f>F8*F5</f>
        <v>787040412.4158169</v>
      </c>
      <c r="G11" s="7"/>
      <c r="H11" s="7">
        <f>H8*H5</f>
        <v>863473774.78819776</v>
      </c>
      <c r="I11" s="7"/>
      <c r="J11" s="7">
        <f>J8*J5</f>
        <v>944098426.42083228</v>
      </c>
      <c r="K11" s="7"/>
      <c r="L11" s="7">
        <f>L8*L5</f>
        <v>1029102212.236136</v>
      </c>
      <c r="M11" s="7"/>
      <c r="N11" s="7">
        <f>SUM(D11:L11)</f>
        <v>4338320187.3317823</v>
      </c>
      <c r="O11" s="9"/>
      <c r="P11" s="33"/>
    </row>
    <row r="12" spans="1:28" x14ac:dyDescent="0.2">
      <c r="D12" s="21"/>
      <c r="F12" s="21"/>
      <c r="H12" s="21"/>
      <c r="J12" s="21"/>
      <c r="L12" s="21"/>
      <c r="N12" s="8"/>
      <c r="P12" s="19"/>
    </row>
    <row r="13" spans="1:28" x14ac:dyDescent="0.2">
      <c r="A13" s="1" t="s">
        <v>10</v>
      </c>
      <c r="C13" s="7"/>
      <c r="D13" s="22"/>
      <c r="E13" s="7"/>
      <c r="F13" s="22"/>
      <c r="G13" s="7"/>
      <c r="H13" s="22"/>
      <c r="I13" s="7"/>
      <c r="J13" s="22"/>
      <c r="K13" s="7"/>
      <c r="L13" s="22"/>
      <c r="M13" s="7"/>
      <c r="N13" s="7"/>
      <c r="P13" s="19"/>
      <c r="S13" s="3"/>
      <c r="T13" s="3"/>
      <c r="U13" s="3"/>
    </row>
    <row r="14" spans="1:28" x14ac:dyDescent="0.2">
      <c r="B14" s="2" t="s">
        <v>14</v>
      </c>
      <c r="C14" s="7"/>
      <c r="D14" s="7">
        <f>'[3]Exp by Year'!$AS$4</f>
        <v>461279900</v>
      </c>
      <c r="E14" s="7"/>
      <c r="F14" s="7">
        <f>'[3]Exp by Year'!$AS$5</f>
        <v>496165279.35699666</v>
      </c>
      <c r="G14" s="7"/>
      <c r="H14" s="7">
        <f>'[3]Exp by Year'!$AS$6</f>
        <v>538104399.51231229</v>
      </c>
      <c r="I14" s="7"/>
      <c r="J14" s="7">
        <f>'[3]Exp by Year'!$AS$7</f>
        <v>591914839.46354353</v>
      </c>
      <c r="K14" s="7"/>
      <c r="L14" s="7">
        <f>'[3]Exp by Year'!$AS$8</f>
        <v>651106323.40989804</v>
      </c>
      <c r="M14" s="7"/>
      <c r="N14" s="7">
        <f t="shared" ref="N14" si="0">SUM(D14:L14)</f>
        <v>2738570741.7427502</v>
      </c>
      <c r="O14" s="8"/>
      <c r="P14" s="34"/>
      <c r="R14" s="34"/>
      <c r="S14" s="34"/>
      <c r="T14" s="34"/>
      <c r="U14" s="34"/>
      <c r="V14" s="34"/>
    </row>
    <row r="15" spans="1:28" x14ac:dyDescent="0.2">
      <c r="C15" s="7"/>
      <c r="D15" s="7"/>
      <c r="E15" s="7"/>
      <c r="F15" s="7"/>
      <c r="G15" s="7"/>
      <c r="H15" s="7"/>
      <c r="I15" s="7"/>
      <c r="J15" s="7"/>
      <c r="K15" s="7"/>
      <c r="L15" s="7"/>
      <c r="M15" s="7"/>
      <c r="N15" s="7"/>
      <c r="O15" s="8"/>
      <c r="P15" s="34"/>
      <c r="R15" s="34"/>
      <c r="S15" s="34"/>
      <c r="T15" s="34"/>
      <c r="U15" s="34"/>
      <c r="V15" s="34"/>
    </row>
    <row r="16" spans="1:28" x14ac:dyDescent="0.2">
      <c r="A16" s="2" t="s">
        <v>11</v>
      </c>
      <c r="C16" s="7"/>
      <c r="D16" s="16"/>
      <c r="E16" s="7"/>
      <c r="F16" s="16"/>
      <c r="G16" s="7"/>
      <c r="H16" s="16"/>
      <c r="I16" s="7"/>
      <c r="J16" s="10"/>
      <c r="K16" s="7"/>
      <c r="L16" s="7"/>
      <c r="M16" s="7"/>
      <c r="N16" s="7"/>
      <c r="O16" s="8"/>
      <c r="P16" s="34"/>
      <c r="R16" s="34"/>
      <c r="S16" s="34"/>
      <c r="T16" s="34"/>
      <c r="U16" s="34"/>
      <c r="V16" s="34"/>
    </row>
    <row r="17" spans="1:17" x14ac:dyDescent="0.2">
      <c r="B17" s="2" t="s">
        <v>14</v>
      </c>
      <c r="C17" s="7"/>
      <c r="D17" s="18">
        <f>D14/D5</f>
        <v>422.88837613114993</v>
      </c>
      <c r="E17" s="7"/>
      <c r="F17" s="18">
        <f>F14/F5</f>
        <v>426.63610090131556</v>
      </c>
      <c r="G17" s="7"/>
      <c r="H17" s="18">
        <f>H14/H5</f>
        <v>435.65657069705486</v>
      </c>
      <c r="I17" s="7"/>
      <c r="J17" s="18">
        <f>J14/J5</f>
        <v>452.76137461546972</v>
      </c>
      <c r="K17" s="10"/>
      <c r="L17" s="18">
        <f>L14/L5</f>
        <v>471.97672822207971</v>
      </c>
      <c r="M17" s="7"/>
      <c r="N17" s="18"/>
      <c r="O17" s="11"/>
      <c r="P17" s="7"/>
    </row>
    <row r="18" spans="1:17" x14ac:dyDescent="0.2">
      <c r="C18" s="7"/>
      <c r="D18" s="15"/>
      <c r="E18" s="15"/>
      <c r="F18" s="35"/>
      <c r="G18" s="10"/>
      <c r="H18" s="35"/>
      <c r="I18" s="10"/>
      <c r="J18" s="35"/>
      <c r="K18" s="10"/>
      <c r="L18" s="35"/>
      <c r="M18" s="7"/>
      <c r="N18" s="18"/>
      <c r="O18" s="11"/>
      <c r="P18" s="7"/>
    </row>
    <row r="19" spans="1:17" x14ac:dyDescent="0.2">
      <c r="A19" s="1" t="s">
        <v>20</v>
      </c>
      <c r="C19" s="24">
        <f>'2014-2016'!J21</f>
        <v>572677493</v>
      </c>
      <c r="D19" s="7"/>
      <c r="E19" s="7"/>
      <c r="F19" s="7"/>
      <c r="G19" s="7"/>
      <c r="H19" s="7"/>
      <c r="I19" s="7"/>
      <c r="J19" s="7"/>
      <c r="K19" s="7"/>
      <c r="L19" s="7"/>
      <c r="M19" s="7"/>
      <c r="N19" s="7"/>
      <c r="O19" s="8"/>
      <c r="P19" s="7"/>
    </row>
    <row r="20" spans="1:17" x14ac:dyDescent="0.2">
      <c r="A20" s="1" t="s">
        <v>21</v>
      </c>
      <c r="C20" s="7"/>
      <c r="D20" s="7">
        <f>D11-D14</f>
        <v>253325461.47079992</v>
      </c>
      <c r="E20" s="7"/>
      <c r="F20" s="7">
        <f>F11-F14</f>
        <v>290875133.05882025</v>
      </c>
      <c r="G20" s="7"/>
      <c r="H20" s="7">
        <f>H11-H14</f>
        <v>325369375.27588546</v>
      </c>
      <c r="I20" s="7"/>
      <c r="J20" s="7">
        <f>J11-J14</f>
        <v>352183586.95728874</v>
      </c>
      <c r="K20" s="7"/>
      <c r="L20" s="7">
        <f>L11-L14</f>
        <v>377995888.82623792</v>
      </c>
      <c r="M20" s="7"/>
      <c r="N20" s="24"/>
      <c r="O20" s="24"/>
      <c r="P20" s="22"/>
      <c r="Q20" s="25"/>
    </row>
    <row r="21" spans="1:17" x14ac:dyDescent="0.2">
      <c r="A21" s="1" t="s">
        <v>22</v>
      </c>
      <c r="C21" s="7"/>
      <c r="D21" s="7">
        <f>D20*0.25</f>
        <v>63331365.367699981</v>
      </c>
      <c r="E21" s="7"/>
      <c r="F21" s="7">
        <f>F20*0.25</f>
        <v>72718783.264705062</v>
      </c>
      <c r="G21" s="7"/>
      <c r="H21" s="7">
        <f>H20*0.25</f>
        <v>81342343.818971366</v>
      </c>
      <c r="I21" s="7"/>
      <c r="J21" s="7">
        <f>J20*0.25</f>
        <v>88045896.739322186</v>
      </c>
      <c r="K21" s="7"/>
      <c r="L21" s="7">
        <f>L20*0.25</f>
        <v>94498972.206559479</v>
      </c>
      <c r="M21" s="7"/>
      <c r="N21" s="24"/>
      <c r="O21" s="24"/>
      <c r="P21" s="22"/>
      <c r="Q21" s="25"/>
    </row>
    <row r="22" spans="1:17" x14ac:dyDescent="0.2">
      <c r="A22" s="1" t="s">
        <v>23</v>
      </c>
      <c r="C22" s="7"/>
      <c r="D22" s="8">
        <f>C19+D21</f>
        <v>636008858.36769998</v>
      </c>
      <c r="E22" s="7"/>
      <c r="F22" s="8">
        <f>D22+F21</f>
        <v>708727641.63240504</v>
      </c>
      <c r="G22" s="7"/>
      <c r="H22" s="8">
        <f>F22+H21</f>
        <v>790069985.45137644</v>
      </c>
      <c r="I22" s="7"/>
      <c r="J22" s="8">
        <f>H22+J21</f>
        <v>878115882.19069862</v>
      </c>
      <c r="K22" s="7"/>
      <c r="L22" s="8">
        <f>J22+L21</f>
        <v>972614854.39725804</v>
      </c>
      <c r="M22" s="7"/>
      <c r="N22" s="26">
        <f>L22</f>
        <v>972614854.39725804</v>
      </c>
      <c r="O22" s="26"/>
      <c r="P22" s="7"/>
      <c r="Q22" s="8"/>
    </row>
    <row r="23" spans="1:17" x14ac:dyDescent="0.2">
      <c r="A23" s="1"/>
      <c r="C23" s="7"/>
      <c r="D23" s="8"/>
      <c r="E23" s="7"/>
      <c r="F23" s="8"/>
      <c r="G23" s="7"/>
      <c r="H23" s="8"/>
      <c r="I23" s="7"/>
      <c r="J23" s="8"/>
      <c r="K23" s="7"/>
      <c r="L23" s="8"/>
      <c r="M23" s="7"/>
      <c r="N23" s="8"/>
      <c r="O23" s="8"/>
      <c r="P23" s="7"/>
    </row>
    <row r="24" spans="1:17" x14ac:dyDescent="0.2">
      <c r="A24" s="31"/>
      <c r="C24" s="7"/>
      <c r="D24" s="8"/>
      <c r="E24" s="7"/>
      <c r="F24" s="8"/>
      <c r="G24" s="7"/>
      <c r="H24" s="8"/>
      <c r="I24" s="7"/>
      <c r="J24" s="8"/>
      <c r="K24" s="7"/>
      <c r="L24" s="8"/>
      <c r="M24" s="7"/>
      <c r="N24" s="8"/>
      <c r="O24" s="8"/>
      <c r="P24" s="7"/>
    </row>
    <row r="25" spans="1:17" x14ac:dyDescent="0.2">
      <c r="A25" s="1"/>
      <c r="C25" s="7"/>
      <c r="D25" s="7"/>
      <c r="E25" s="7"/>
      <c r="F25" s="7"/>
      <c r="G25" s="7"/>
      <c r="H25" s="7"/>
      <c r="I25" s="7"/>
      <c r="J25" s="7"/>
      <c r="K25" s="7"/>
      <c r="L25" s="7"/>
      <c r="M25" s="7"/>
      <c r="N25" s="7"/>
      <c r="O25" s="7"/>
      <c r="P25" s="7"/>
    </row>
    <row r="26" spans="1:17" x14ac:dyDescent="0.2">
      <c r="A26" s="1"/>
      <c r="C26" s="27"/>
      <c r="D26" s="27"/>
      <c r="E26" s="27"/>
      <c r="F26" s="27"/>
      <c r="G26" s="27"/>
      <c r="H26" s="27"/>
      <c r="I26" s="27"/>
      <c r="J26" s="27"/>
      <c r="K26" s="27"/>
      <c r="L26" s="27"/>
      <c r="M26" s="7"/>
      <c r="N26" s="27"/>
      <c r="P26" s="8"/>
    </row>
    <row r="27" spans="1:17" x14ac:dyDescent="0.2">
      <c r="A27" s="1"/>
      <c r="C27" s="27"/>
      <c r="D27" s="27"/>
      <c r="E27" s="27"/>
      <c r="F27" s="27"/>
      <c r="G27" s="27"/>
      <c r="H27" s="27"/>
      <c r="I27" s="27"/>
      <c r="J27" s="27"/>
      <c r="K27" s="27"/>
      <c r="L27" s="27"/>
      <c r="M27" s="7"/>
      <c r="N27" s="27"/>
      <c r="P27" s="8"/>
    </row>
    <row r="28" spans="1:17" x14ac:dyDescent="0.2">
      <c r="A28" s="1"/>
      <c r="C28" s="27"/>
      <c r="D28" s="27"/>
      <c r="E28" s="27"/>
      <c r="F28" s="27"/>
      <c r="G28" s="27"/>
      <c r="H28" s="27"/>
      <c r="I28" s="27"/>
      <c r="J28" s="27"/>
      <c r="K28" s="27"/>
      <c r="L28" s="27"/>
      <c r="M28" s="7"/>
      <c r="N28" s="27"/>
      <c r="P28" s="8"/>
    </row>
    <row r="29" spans="1:17" x14ac:dyDescent="0.2">
      <c r="A29" s="1"/>
      <c r="C29" s="27"/>
      <c r="D29" s="27"/>
      <c r="E29" s="27"/>
      <c r="F29" s="27"/>
      <c r="G29" s="27"/>
      <c r="H29" s="27"/>
      <c r="I29" s="27"/>
      <c r="J29" s="27"/>
      <c r="K29" s="27"/>
      <c r="L29" s="27"/>
      <c r="M29" s="7"/>
      <c r="N29" s="27"/>
      <c r="P29" s="8"/>
    </row>
    <row r="30" spans="1:17" x14ac:dyDescent="0.2">
      <c r="A30" s="1"/>
      <c r="C30" s="27"/>
      <c r="D30" s="27"/>
      <c r="E30" s="27"/>
      <c r="F30" s="27"/>
      <c r="G30" s="27"/>
      <c r="H30" s="27"/>
      <c r="I30" s="27"/>
      <c r="J30" s="27"/>
      <c r="K30" s="27"/>
      <c r="L30" s="27"/>
      <c r="M30" s="7"/>
      <c r="N30" s="27"/>
      <c r="P30" s="8"/>
    </row>
    <row r="31" spans="1:17" x14ac:dyDescent="0.2">
      <c r="D31" s="27"/>
      <c r="F31" s="27"/>
      <c r="H31" s="27"/>
      <c r="J31" s="27"/>
      <c r="L31" s="27"/>
      <c r="N31" s="27"/>
    </row>
    <row r="32" spans="1:17" x14ac:dyDescent="0.2">
      <c r="C32" s="28"/>
      <c r="D32" s="28"/>
      <c r="E32" s="28"/>
      <c r="F32" s="28"/>
      <c r="H32" s="28"/>
      <c r="J32" s="28"/>
      <c r="L32" s="28"/>
      <c r="N32" s="8"/>
    </row>
    <row r="33" spans="1:14" x14ac:dyDescent="0.2">
      <c r="C33" s="28"/>
      <c r="D33" s="28"/>
      <c r="E33" s="28"/>
      <c r="F33" s="28"/>
      <c r="H33" s="28"/>
      <c r="J33" s="28"/>
      <c r="L33" s="28"/>
    </row>
    <row r="34" spans="1:14" x14ac:dyDescent="0.2">
      <c r="C34" s="28"/>
      <c r="D34" s="28"/>
      <c r="E34" s="28"/>
      <c r="F34" s="28"/>
      <c r="H34" s="28"/>
      <c r="J34" s="28"/>
      <c r="L34" s="28"/>
    </row>
    <row r="35" spans="1:14" x14ac:dyDescent="0.2">
      <c r="C35" s="28"/>
      <c r="D35" s="28"/>
      <c r="E35" s="28"/>
      <c r="F35" s="28"/>
      <c r="H35" s="28"/>
      <c r="J35" s="28"/>
      <c r="L35" s="28"/>
    </row>
    <row r="36" spans="1:14" x14ac:dyDescent="0.2">
      <c r="C36" s="28"/>
      <c r="D36" s="28"/>
      <c r="E36" s="28"/>
      <c r="F36" s="28"/>
      <c r="H36" s="28"/>
      <c r="J36" s="28"/>
      <c r="L36" s="28"/>
    </row>
    <row r="39" spans="1:14" hidden="1" x14ac:dyDescent="0.2">
      <c r="A39" s="2" t="s">
        <v>24</v>
      </c>
      <c r="C39" s="7"/>
      <c r="D39" s="7" t="e">
        <f>#REF!</f>
        <v>#REF!</v>
      </c>
      <c r="E39" s="7"/>
      <c r="F39" s="7" t="e">
        <f>#REF!</f>
        <v>#REF!</v>
      </c>
      <c r="G39" s="7"/>
      <c r="H39" s="7" t="e">
        <f>#REF!+#REF!</f>
        <v>#REF!</v>
      </c>
      <c r="J39" s="7"/>
      <c r="L39" s="7"/>
      <c r="N39" s="8"/>
    </row>
    <row r="40" spans="1:14" x14ac:dyDescent="0.2">
      <c r="C40" s="11"/>
      <c r="D40" s="11"/>
      <c r="E40" s="11"/>
      <c r="F40" s="11"/>
      <c r="H40" s="11"/>
      <c r="J40" s="11"/>
      <c r="L40" s="11"/>
    </row>
    <row r="41" spans="1:14" x14ac:dyDescent="0.2">
      <c r="D41" s="7"/>
      <c r="F41" s="7"/>
      <c r="H41" s="7"/>
      <c r="J41" s="7"/>
      <c r="L41" s="7"/>
    </row>
    <row r="42" spans="1:14" hidden="1" x14ac:dyDescent="0.2">
      <c r="A42" s="2">
        <v>1</v>
      </c>
      <c r="D42" s="7"/>
      <c r="F42" s="7"/>
      <c r="H42" s="7"/>
      <c r="J42" s="7"/>
      <c r="L42" s="7"/>
    </row>
    <row r="46" spans="1:14" x14ac:dyDescent="0.2">
      <c r="D46" s="8"/>
      <c r="F46" s="8"/>
      <c r="H46" s="8"/>
      <c r="J46" s="8"/>
      <c r="L46" s="8"/>
    </row>
    <row r="47" spans="1:14" x14ac:dyDescent="0.2">
      <c r="D47" s="16"/>
      <c r="F47" s="16"/>
      <c r="H47" s="16"/>
      <c r="J47" s="16"/>
      <c r="L47" s="16"/>
    </row>
    <row r="48" spans="1:14" x14ac:dyDescent="0.2">
      <c r="D48" s="16"/>
      <c r="F48" s="16"/>
      <c r="H48" s="16"/>
      <c r="J48" s="16"/>
      <c r="L48" s="16"/>
    </row>
    <row r="49" spans="4:12" x14ac:dyDescent="0.2">
      <c r="D49" s="16"/>
      <c r="F49" s="16"/>
      <c r="H49" s="16"/>
      <c r="J49" s="16"/>
      <c r="L49" s="16"/>
    </row>
    <row r="50" spans="4:12" x14ac:dyDescent="0.2">
      <c r="D50" s="16"/>
      <c r="F50" s="16"/>
      <c r="H50" s="16"/>
      <c r="J50" s="16"/>
      <c r="L50" s="16"/>
    </row>
    <row r="60" spans="4:12" x14ac:dyDescent="0.2">
      <c r="D60" s="8"/>
      <c r="F60" s="8"/>
      <c r="H60" s="8"/>
      <c r="J60" s="8"/>
      <c r="L60" s="8"/>
    </row>
    <row r="61" spans="4:12" x14ac:dyDescent="0.2">
      <c r="D61" s="8"/>
      <c r="F61" s="8"/>
      <c r="H61" s="8"/>
      <c r="J61" s="8"/>
      <c r="L61" s="8"/>
    </row>
    <row r="62" spans="4:12" x14ac:dyDescent="0.2">
      <c r="D62" s="8"/>
      <c r="F62" s="8"/>
      <c r="H62" s="8"/>
      <c r="J62" s="8"/>
      <c r="L62" s="8"/>
    </row>
    <row r="63" spans="4:12" x14ac:dyDescent="0.2">
      <c r="D63" s="8"/>
      <c r="F63" s="8"/>
      <c r="H63" s="8"/>
      <c r="J63" s="8"/>
      <c r="L63" s="8"/>
    </row>
    <row r="64" spans="4:12" x14ac:dyDescent="0.2">
      <c r="D64" s="8"/>
      <c r="F64" s="8"/>
      <c r="H64" s="8"/>
      <c r="J64" s="8"/>
      <c r="L64" s="8"/>
    </row>
  </sheetData>
  <printOptions horizontalCentered="1"/>
  <pageMargins left="0.7" right="0.7" top="1.25" bottom="0.5" header="0.3" footer="0.3"/>
  <pageSetup scale="59" orientation="portrait" r:id="rId1"/>
  <headerFooter alignWithMargins="0">
    <oddHeader xml:space="preserve">&amp;C&amp;"Arial,Bold"Arizona Health Care Cost Containment System
Budget Neutrality Status by Federal Fiscal Year
NEWLY ELIGIBLE ADULTS
For the Period October 1, 2016 - September 30, 2021
</oddHeader>
    <oddFooter>&amp;L&amp;8 DBF  &amp;D    &amp;T&amp;R&amp;8S:\BUD\SHARE\FY18 Prog\BN Update\2012 -2021 Newly Eligible Adult BN Model - September 2016.xlsx</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2014-2016</vt:lpstr>
      <vt:lpstr>2017-2021</vt:lpstr>
      <vt:lpstr>'2014-2016'!Print_Area</vt:lpstr>
      <vt:lpstr>'2017-2021'!Print_Area</vt:lpstr>
    </vt:vector>
  </TitlesOfParts>
  <Company>AHCCCS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Tegen, Jeffery</dc:creator>
  <cp:lastModifiedBy>Megan Lepore</cp:lastModifiedBy>
  <cp:lastPrinted>2016-09-19T21:43:43Z</cp:lastPrinted>
  <dcterms:created xsi:type="dcterms:W3CDTF">2013-12-09T22:12:27Z</dcterms:created>
  <dcterms:modified xsi:type="dcterms:W3CDTF">2016-09-29T17:25:26Z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