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cccs-my.sharepoint.com/personal/julie_ambur_azahcccs_gov/Documents/1-PROJECTS/EPD RFP YH24-0001/Scoring/LOCKED DOWN DOCUMENTS_092823/OVERALL SCORING TOOL - Excel/"/>
    </mc:Choice>
  </mc:AlternateContent>
  <xr:revisionPtr revIDLastSave="123" documentId="13_ncr:1_{951E2675-AD38-4333-AA6F-31284F5A3993}" xr6:coauthVersionLast="47" xr6:coauthVersionMax="47" xr10:uidLastSave="{64315AC0-A5D5-466E-87B2-5AC768611267}"/>
  <bookViews>
    <workbookView xWindow="-28920" yWindow="-120" windowWidth="29040" windowHeight="15840" firstSheet="1" activeTab="5" xr2:uid="{AD0ECB8B-FF77-4A2E-9F3D-81026830024A}"/>
  </bookViews>
  <sheets>
    <sheet name="PP ACC Final Score by GSA" sheetId="10" state="hidden" r:id="rId1"/>
    <sheet name="Ranking Summary" sheetId="11" r:id="rId2"/>
    <sheet name="Scores Statewide" sheetId="1" r:id="rId3"/>
    <sheet name="Ranking Summary All Offerors" sheetId="16" r:id="rId4"/>
    <sheet name="Overall Points All Offerors" sheetId="13" r:id="rId5"/>
    <sheet name="Overall Final Score" sheetId="17" r:id="rId6"/>
  </sheets>
  <definedNames>
    <definedName name="_xlnm.Print_Area" localSheetId="5">'Overall Final Score'!$D$1:$J$11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J7" i="1"/>
  <c r="I7" i="1"/>
  <c r="H7" i="1"/>
  <c r="G7" i="1"/>
  <c r="F7" i="1"/>
  <c r="H4" i="1" s="1"/>
  <c r="H39" i="11"/>
  <c r="H38" i="11"/>
  <c r="H37" i="11"/>
  <c r="H36" i="11"/>
  <c r="H35" i="11"/>
  <c r="E39" i="11"/>
  <c r="E38" i="11"/>
  <c r="E37" i="11"/>
  <c r="E36" i="11"/>
  <c r="E35" i="11"/>
  <c r="B39" i="11"/>
  <c r="B38" i="11"/>
  <c r="B37" i="11"/>
  <c r="B36" i="11"/>
  <c r="B35" i="11"/>
  <c r="K31" i="11"/>
  <c r="K30" i="11"/>
  <c r="K29" i="11"/>
  <c r="K28" i="11"/>
  <c r="K27" i="11"/>
  <c r="H31" i="11"/>
  <c r="H30" i="11"/>
  <c r="H29" i="11"/>
  <c r="H28" i="11"/>
  <c r="H27" i="11"/>
  <c r="E31" i="11"/>
  <c r="E30" i="11"/>
  <c r="E29" i="11"/>
  <c r="E28" i="11"/>
  <c r="E27" i="11"/>
  <c r="B31" i="11"/>
  <c r="B30" i="11"/>
  <c r="B29" i="11"/>
  <c r="B28" i="11"/>
  <c r="B27" i="11"/>
  <c r="K23" i="11"/>
  <c r="K22" i="11"/>
  <c r="K21" i="11"/>
  <c r="K20" i="11"/>
  <c r="K19" i="11"/>
  <c r="H23" i="11"/>
  <c r="H22" i="11"/>
  <c r="H21" i="11"/>
  <c r="H20" i="11"/>
  <c r="H19" i="11"/>
  <c r="E23" i="11"/>
  <c r="E22" i="11"/>
  <c r="E21" i="11"/>
  <c r="E20" i="11"/>
  <c r="E19" i="11"/>
  <c r="B23" i="11"/>
  <c r="B22" i="11"/>
  <c r="B21" i="11"/>
  <c r="B20" i="11"/>
  <c r="B19" i="11"/>
  <c r="K15" i="11"/>
  <c r="K14" i="11"/>
  <c r="K13" i="11"/>
  <c r="K12" i="11"/>
  <c r="K11" i="11"/>
  <c r="H15" i="11"/>
  <c r="H14" i="11"/>
  <c r="H13" i="11"/>
  <c r="H12" i="11"/>
  <c r="H11" i="11"/>
  <c r="E15" i="11"/>
  <c r="E14" i="11"/>
  <c r="E13" i="11"/>
  <c r="E12" i="11"/>
  <c r="E11" i="11"/>
  <c r="L15" i="1" l="1"/>
  <c r="G26" i="1"/>
  <c r="H26" i="1"/>
  <c r="I26" i="1"/>
  <c r="J26" i="1"/>
  <c r="H5" i="13"/>
  <c r="N5" i="13" s="1"/>
  <c r="G4" i="16"/>
  <c r="G9" i="16" s="1"/>
  <c r="M9" i="16" s="1"/>
  <c r="I5" i="13"/>
  <c r="O5" i="13" s="1"/>
  <c r="H4" i="16"/>
  <c r="H11" i="16" s="1"/>
  <c r="N11" i="16" s="1"/>
  <c r="O7" i="1"/>
  <c r="O34" i="1" s="1"/>
  <c r="P7" i="1"/>
  <c r="P34" i="1" s="1"/>
  <c r="N7" i="1"/>
  <c r="N34" i="1" s="1"/>
  <c r="G5" i="13"/>
  <c r="M5" i="13" s="1"/>
  <c r="F4" i="16"/>
  <c r="F14" i="16" s="1"/>
  <c r="L14" i="16" s="1"/>
  <c r="F5" i="13"/>
  <c r="L5" i="13" s="1"/>
  <c r="E4" i="16"/>
  <c r="E11" i="16" s="1"/>
  <c r="K11" i="16" s="1"/>
  <c r="M7" i="1"/>
  <c r="H5" i="17"/>
  <c r="D5" i="17"/>
  <c r="N32" i="1"/>
  <c r="P28" i="1"/>
  <c r="J16" i="1"/>
  <c r="H16" i="1"/>
  <c r="I16" i="1"/>
  <c r="G16" i="1"/>
  <c r="I14" i="1"/>
  <c r="G14" i="1"/>
  <c r="H14" i="1"/>
  <c r="J14" i="1"/>
  <c r="P22" i="1"/>
  <c r="E5" i="13"/>
  <c r="K5" i="13" s="1"/>
  <c r="D4" i="16"/>
  <c r="F20" i="1"/>
  <c r="F14" i="1"/>
  <c r="F26" i="1"/>
  <c r="F32" i="1"/>
  <c r="F22" i="1"/>
  <c r="F18" i="1"/>
  <c r="F16" i="1"/>
  <c r="F34" i="1"/>
  <c r="F28" i="1"/>
  <c r="F24" i="1"/>
  <c r="F30" i="1"/>
  <c r="J34" i="1"/>
  <c r="H34" i="1"/>
  <c r="G34" i="1"/>
  <c r="I34" i="1"/>
  <c r="J28" i="1"/>
  <c r="I28" i="1"/>
  <c r="H28" i="1"/>
  <c r="G28" i="1"/>
  <c r="G22" i="1"/>
  <c r="J22" i="1"/>
  <c r="I22" i="1"/>
  <c r="H22" i="1"/>
  <c r="J32" i="1"/>
  <c r="I32" i="1"/>
  <c r="H32" i="1"/>
  <c r="G32" i="1"/>
  <c r="H24" i="1"/>
  <c r="G24" i="1"/>
  <c r="J24" i="1"/>
  <c r="I24" i="1"/>
  <c r="J18" i="1"/>
  <c r="I18" i="1"/>
  <c r="H18" i="1"/>
  <c r="G18" i="1"/>
  <c r="G20" i="1"/>
  <c r="J20" i="1"/>
  <c r="I20" i="1"/>
  <c r="H20" i="1"/>
  <c r="J30" i="1"/>
  <c r="I30" i="1"/>
  <c r="H30" i="1"/>
  <c r="G30" i="1"/>
  <c r="L7" i="1"/>
  <c r="M28" i="1" l="1"/>
  <c r="M34" i="1"/>
  <c r="H17" i="16"/>
  <c r="N17" i="16" s="1"/>
  <c r="G17" i="16"/>
  <c r="M17" i="16" s="1"/>
  <c r="L18" i="1"/>
  <c r="L34" i="1"/>
  <c r="H9" i="16"/>
  <c r="N9" i="16" s="1"/>
  <c r="G12" i="16"/>
  <c r="M12" i="16" s="1"/>
  <c r="H15" i="16"/>
  <c r="N15" i="16" s="1"/>
  <c r="H18" i="16"/>
  <c r="H12" i="16"/>
  <c r="N12" i="16" s="1"/>
  <c r="G15" i="16"/>
  <c r="M15" i="16" s="1"/>
  <c r="H10" i="16"/>
  <c r="N10" i="16" s="1"/>
  <c r="H14" i="16"/>
  <c r="N14" i="16" s="1"/>
  <c r="H16" i="16"/>
  <c r="N16" i="16" s="1"/>
  <c r="H8" i="16"/>
  <c r="N8" i="16" s="1"/>
  <c r="H13" i="16"/>
  <c r="N13" i="16" s="1"/>
  <c r="F17" i="1"/>
  <c r="G13" i="16"/>
  <c r="M13" i="16" s="1"/>
  <c r="M20" i="1"/>
  <c r="M16" i="1"/>
  <c r="M17" i="1" s="1"/>
  <c r="M22" i="1"/>
  <c r="E8" i="16"/>
  <c r="K8" i="16" s="1"/>
  <c r="E10" i="16"/>
  <c r="K10" i="16" s="1"/>
  <c r="M4" i="16"/>
  <c r="M18" i="16" s="1"/>
  <c r="O24" i="1"/>
  <c r="O26" i="1"/>
  <c r="E15" i="16"/>
  <c r="K15" i="16" s="1"/>
  <c r="E17" i="16"/>
  <c r="K17" i="16" s="1"/>
  <c r="G10" i="16"/>
  <c r="M10" i="16" s="1"/>
  <c r="K4" i="16"/>
  <c r="K18" i="16" s="1"/>
  <c r="M24" i="1"/>
  <c r="M26" i="1"/>
  <c r="F19" i="1"/>
  <c r="E14" i="16"/>
  <c r="K14" i="16" s="1"/>
  <c r="G11" i="16"/>
  <c r="M11" i="16" s="1"/>
  <c r="O32" i="1"/>
  <c r="G16" i="16"/>
  <c r="M16" i="16" s="1"/>
  <c r="E16" i="16"/>
  <c r="K16" i="16" s="1"/>
  <c r="L24" i="1"/>
  <c r="L26" i="1"/>
  <c r="E12" i="16"/>
  <c r="K12" i="16" s="1"/>
  <c r="G8" i="16"/>
  <c r="M8" i="16" s="1"/>
  <c r="G14" i="16"/>
  <c r="M14" i="16" s="1"/>
  <c r="E9" i="16"/>
  <c r="K9" i="16" s="1"/>
  <c r="E18" i="16"/>
  <c r="E13" i="16"/>
  <c r="K13" i="16" s="1"/>
  <c r="H17" i="1"/>
  <c r="F31" i="1"/>
  <c r="O22" i="1"/>
  <c r="G18" i="16"/>
  <c r="L4" i="16"/>
  <c r="L18" i="16" s="1"/>
  <c r="N26" i="1"/>
  <c r="N24" i="1"/>
  <c r="H31" i="1"/>
  <c r="N4" i="16"/>
  <c r="N18" i="16" s="1"/>
  <c r="P26" i="1"/>
  <c r="P24" i="1"/>
  <c r="F11" i="16"/>
  <c r="L11" i="16" s="1"/>
  <c r="F10" i="16"/>
  <c r="L10" i="16" s="1"/>
  <c r="F13" i="16"/>
  <c r="L13" i="16" s="1"/>
  <c r="F8" i="16"/>
  <c r="L8" i="16" s="1"/>
  <c r="F12" i="16"/>
  <c r="L12" i="16" s="1"/>
  <c r="F15" i="16"/>
  <c r="L15" i="16" s="1"/>
  <c r="F9" i="16"/>
  <c r="L9" i="16" s="1"/>
  <c r="F18" i="16"/>
  <c r="F16" i="16"/>
  <c r="L16" i="16" s="1"/>
  <c r="F17" i="16"/>
  <c r="L17" i="16" s="1"/>
  <c r="J19" i="1"/>
  <c r="J33" i="1"/>
  <c r="J29" i="1"/>
  <c r="J27" i="1"/>
  <c r="I25" i="1"/>
  <c r="J17" i="1"/>
  <c r="H35" i="1"/>
  <c r="I29" i="1"/>
  <c r="F15" i="1"/>
  <c r="G35" i="1"/>
  <c r="J35" i="1"/>
  <c r="F35" i="1"/>
  <c r="I35" i="1"/>
  <c r="F33" i="1"/>
  <c r="G33" i="1"/>
  <c r="H33" i="1"/>
  <c r="I33" i="1"/>
  <c r="G31" i="1"/>
  <c r="I31" i="1"/>
  <c r="J31" i="1"/>
  <c r="G29" i="1"/>
  <c r="H29" i="1"/>
  <c r="F29" i="1"/>
  <c r="I27" i="1"/>
  <c r="F27" i="1"/>
  <c r="G27" i="1"/>
  <c r="H27" i="1"/>
  <c r="J25" i="1"/>
  <c r="H25" i="1"/>
  <c r="G25" i="1"/>
  <c r="F25" i="1"/>
  <c r="F21" i="1"/>
  <c r="G19" i="1"/>
  <c r="G17" i="1"/>
  <c r="I17" i="1"/>
  <c r="J15" i="1"/>
  <c r="H15" i="1"/>
  <c r="G15" i="1"/>
  <c r="I15" i="1"/>
  <c r="N22" i="1"/>
  <c r="P16" i="1"/>
  <c r="P17" i="1" s="1"/>
  <c r="O28" i="1"/>
  <c r="P20" i="1"/>
  <c r="M32" i="1"/>
  <c r="N18" i="1"/>
  <c r="N30" i="1"/>
  <c r="N20" i="1"/>
  <c r="O16" i="1"/>
  <c r="O17" i="1" s="1"/>
  <c r="N28" i="1"/>
  <c r="O20" i="1"/>
  <c r="P32" i="1"/>
  <c r="O18" i="1"/>
  <c r="O30" i="1"/>
  <c r="P18" i="1"/>
  <c r="P30" i="1"/>
  <c r="N16" i="1"/>
  <c r="N17" i="1" s="1"/>
  <c r="M18" i="1"/>
  <c r="M30" i="1"/>
  <c r="J23" i="1"/>
  <c r="F23" i="1"/>
  <c r="D18" i="16"/>
  <c r="D13" i="16"/>
  <c r="J13" i="16" s="1"/>
  <c r="D17" i="16"/>
  <c r="J17" i="16" s="1"/>
  <c r="D9" i="16"/>
  <c r="J9" i="16" s="1"/>
  <c r="D11" i="16"/>
  <c r="J11" i="16" s="1"/>
  <c r="D16" i="16"/>
  <c r="J16" i="16" s="1"/>
  <c r="D12" i="16"/>
  <c r="J12" i="16" s="1"/>
  <c r="D10" i="16"/>
  <c r="J10" i="16" s="1"/>
  <c r="D8" i="16"/>
  <c r="J8" i="16" s="1"/>
  <c r="D15" i="16"/>
  <c r="J15" i="16" s="1"/>
  <c r="D14" i="16"/>
  <c r="J14" i="16" s="1"/>
  <c r="L32" i="1"/>
  <c r="L16" i="1"/>
  <c r="L22" i="1"/>
  <c r="L28" i="1"/>
  <c r="L30" i="1"/>
  <c r="L20" i="1"/>
  <c r="J4" i="16"/>
  <c r="J18" i="16" s="1"/>
  <c r="I23" i="1"/>
  <c r="H23" i="1"/>
  <c r="G23" i="1"/>
  <c r="J21" i="1"/>
  <c r="I21" i="1"/>
  <c r="H21" i="1"/>
  <c r="G21" i="1"/>
  <c r="I19" i="1"/>
  <c r="H19" i="1"/>
  <c r="N27" i="1" l="1"/>
  <c r="M27" i="1"/>
  <c r="N29" i="1"/>
  <c r="P27" i="1"/>
  <c r="O27" i="1"/>
  <c r="P25" i="1"/>
  <c r="L33" i="1"/>
  <c r="N21" i="1"/>
  <c r="N23" i="1"/>
  <c r="M33" i="1"/>
  <c r="O25" i="1"/>
  <c r="L35" i="1"/>
  <c r="K19" i="13" s="1"/>
  <c r="N15" i="1"/>
  <c r="N31" i="1"/>
  <c r="M25" i="1"/>
  <c r="N25" i="1"/>
  <c r="M35" i="1"/>
  <c r="L19" i="13" s="1"/>
  <c r="M19" i="1"/>
  <c r="M29" i="1"/>
  <c r="L23" i="1"/>
  <c r="P35" i="1"/>
  <c r="O19" i="13" s="1"/>
  <c r="N33" i="1"/>
  <c r="N35" i="1"/>
  <c r="M19" i="13" s="1"/>
  <c r="O35" i="1"/>
  <c r="N19" i="13" s="1"/>
  <c r="P31" i="1"/>
  <c r="P33" i="1"/>
  <c r="O15" i="1"/>
  <c r="O31" i="1"/>
  <c r="P23" i="1"/>
  <c r="O33" i="1"/>
  <c r="J36" i="1"/>
  <c r="L31" i="1"/>
  <c r="M31" i="1"/>
  <c r="O29" i="1"/>
  <c r="L29" i="1"/>
  <c r="P29" i="1"/>
  <c r="L27" i="1"/>
  <c r="L25" i="1"/>
  <c r="P21" i="1"/>
  <c r="O21" i="1"/>
  <c r="F36" i="1"/>
  <c r="L21" i="1"/>
  <c r="M21" i="1"/>
  <c r="O19" i="1"/>
  <c r="N19" i="1"/>
  <c r="P19" i="1"/>
  <c r="L19" i="1"/>
  <c r="L17" i="1"/>
  <c r="P15" i="1"/>
  <c r="M15" i="1"/>
  <c r="M23" i="1"/>
  <c r="O23" i="1"/>
  <c r="G36" i="1"/>
  <c r="I36" i="1"/>
  <c r="H36" i="1"/>
  <c r="D20" i="13"/>
  <c r="N36" i="1" l="1"/>
  <c r="P36" i="1"/>
  <c r="O36" i="1"/>
  <c r="L36" i="1"/>
  <c r="M36" i="1"/>
  <c r="D36" i="1"/>
  <c r="H12" i="13" l="1"/>
  <c r="N12" i="13" s="1"/>
  <c r="G9" i="13"/>
  <c r="M9" i="13" s="1"/>
  <c r="I9" i="13"/>
  <c r="O9" i="13" s="1"/>
  <c r="H9" i="13"/>
  <c r="N9" i="13" s="1"/>
  <c r="I19" i="13"/>
  <c r="F15" i="13"/>
  <c r="L15" i="13" s="1"/>
  <c r="F18" i="13"/>
  <c r="L18" i="13" s="1"/>
  <c r="E16" i="13"/>
  <c r="K16" i="13" s="1"/>
  <c r="I17" i="13"/>
  <c r="O17" i="13" s="1"/>
  <c r="H19" i="13"/>
  <c r="E18" i="13"/>
  <c r="K18" i="13" s="1"/>
  <c r="G18" i="13"/>
  <c r="M18" i="13" s="1"/>
  <c r="H18" i="13"/>
  <c r="N18" i="13" s="1"/>
  <c r="H15" i="13"/>
  <c r="N15" i="13" s="1"/>
  <c r="E15" i="13"/>
  <c r="K15" i="13" s="1"/>
  <c r="E14" i="13"/>
  <c r="K14" i="13" s="1"/>
  <c r="F12" i="13"/>
  <c r="L12" i="13" s="1"/>
  <c r="G19" i="13"/>
  <c r="F19" i="13"/>
  <c r="I10" i="13"/>
  <c r="O10" i="13" s="1"/>
  <c r="F10" i="13"/>
  <c r="L10" i="13" s="1"/>
  <c r="E19" i="13"/>
  <c r="E10" i="13"/>
  <c r="K10" i="13" s="1"/>
  <c r="I15" i="13"/>
  <c r="O15" i="13" s="1"/>
  <c r="E17" i="13"/>
  <c r="K17" i="13" s="1"/>
  <c r="F13" i="13"/>
  <c r="L13" i="13" s="1"/>
  <c r="G11" i="13"/>
  <c r="M11" i="13" s="1"/>
  <c r="G15" i="13"/>
  <c r="M15" i="13" s="1"/>
  <c r="G14" i="13"/>
  <c r="M14" i="13" s="1"/>
  <c r="I16" i="13"/>
  <c r="O16" i="13" s="1"/>
  <c r="G16" i="13"/>
  <c r="M16" i="13" s="1"/>
  <c r="I12" i="13"/>
  <c r="O12" i="13" s="1"/>
  <c r="G10" i="13"/>
  <c r="M10" i="13" s="1"/>
  <c r="F9" i="13"/>
  <c r="L9" i="13" s="1"/>
  <c r="E11" i="13"/>
  <c r="K11" i="13" s="1"/>
  <c r="G13" i="13"/>
  <c r="M13" i="13" s="1"/>
  <c r="H14" i="13"/>
  <c r="N14" i="13" s="1"/>
  <c r="I18" i="13"/>
  <c r="O18" i="13" s="1"/>
  <c r="I11" i="13"/>
  <c r="O11" i="13" s="1"/>
  <c r="I14" i="13"/>
  <c r="O14" i="13" s="1"/>
  <c r="E13" i="13"/>
  <c r="K13" i="13" s="1"/>
  <c r="H10" i="13"/>
  <c r="N10" i="13" s="1"/>
  <c r="G12" i="13"/>
  <c r="M12" i="13" s="1"/>
  <c r="G17" i="13"/>
  <c r="M17" i="13" s="1"/>
  <c r="E9" i="13"/>
  <c r="K9" i="13" s="1"/>
  <c r="F11" i="13"/>
  <c r="L11" i="13" s="1"/>
  <c r="H11" i="13"/>
  <c r="N11" i="13" s="1"/>
  <c r="F17" i="13"/>
  <c r="L17" i="13" s="1"/>
  <c r="H17" i="13"/>
  <c r="N17" i="13" s="1"/>
  <c r="F14" i="13"/>
  <c r="L14" i="13" s="1"/>
  <c r="H16" i="13"/>
  <c r="N16" i="13" s="1"/>
  <c r="I13" i="13"/>
  <c r="O13" i="13" s="1"/>
  <c r="H13" i="13"/>
  <c r="N13" i="13" s="1"/>
  <c r="F16" i="13"/>
  <c r="L16" i="13" s="1"/>
  <c r="C10" i="10"/>
  <c r="G10" i="10"/>
  <c r="K10" i="10"/>
  <c r="E12" i="13" l="1"/>
  <c r="C5" i="10"/>
  <c r="I20" i="13"/>
  <c r="M20" i="13"/>
  <c r="L20" i="13"/>
  <c r="N20" i="13"/>
  <c r="O20" i="13"/>
  <c r="G20" i="13"/>
  <c r="F20" i="13"/>
  <c r="H20" i="13"/>
  <c r="C8" i="10"/>
  <c r="C9" i="10"/>
  <c r="C7" i="10"/>
  <c r="C6" i="10"/>
  <c r="K12" i="13" l="1"/>
  <c r="K20" i="13" s="1"/>
  <c r="E20" i="13"/>
  <c r="E23" i="13" s="1"/>
  <c r="D9" i="10"/>
  <c r="D5" i="10"/>
  <c r="D10" i="10"/>
  <c r="D6" i="10"/>
  <c r="D7" i="10"/>
  <c r="D8" i="10"/>
  <c r="K8" i="10"/>
  <c r="O23" i="13" l="1"/>
  <c r="O21" i="13"/>
  <c r="N21" i="13"/>
  <c r="L21" i="13"/>
  <c r="M21" i="13"/>
  <c r="N23" i="13"/>
  <c r="M23" i="13"/>
  <c r="I10" i="17" a="1"/>
  <c r="I10" i="17" s="1"/>
  <c r="I9" i="17" a="1"/>
  <c r="I9" i="17" s="1"/>
  <c r="K21" i="13"/>
  <c r="I7" i="17" a="1"/>
  <c r="I7" i="17" s="1"/>
  <c r="I11" i="17" a="1"/>
  <c r="I11" i="17" s="1"/>
  <c r="L23" i="13"/>
  <c r="K23" i="13"/>
  <c r="I8" i="17" a="1"/>
  <c r="I8" i="17" s="1"/>
  <c r="F21" i="13"/>
  <c r="I23" i="13"/>
  <c r="E9" i="17" a="1"/>
  <c r="E9" i="17" s="1"/>
  <c r="E10" i="17" a="1"/>
  <c r="E10" i="17" s="1"/>
  <c r="E21" i="13"/>
  <c r="G21" i="13"/>
  <c r="I21" i="13"/>
  <c r="E7" i="17" a="1"/>
  <c r="E7" i="17" s="1"/>
  <c r="F23" i="13"/>
  <c r="E11" i="17" a="1"/>
  <c r="E11" i="17" s="1"/>
  <c r="H21" i="13"/>
  <c r="E8" i="17" a="1"/>
  <c r="E8" i="17" s="1"/>
  <c r="G23" i="13"/>
  <c r="H23" i="13"/>
  <c r="L8" i="10"/>
  <c r="L10" i="10"/>
  <c r="G9" i="10"/>
  <c r="H8" i="17" l="1"/>
  <c r="H7" i="17"/>
  <c r="H11" i="17"/>
  <c r="J10" i="17"/>
  <c r="J9" i="17"/>
  <c r="J11" i="17"/>
  <c r="J8" i="17"/>
  <c r="J7" i="17"/>
  <c r="H10" i="17"/>
  <c r="H9" i="17"/>
  <c r="F10" i="17"/>
  <c r="F8" i="17"/>
  <c r="D11" i="17"/>
  <c r="F11" i="17"/>
  <c r="F7" i="17"/>
  <c r="D7" i="17"/>
  <c r="D9" i="17"/>
  <c r="D10" i="17"/>
  <c r="F9" i="17"/>
  <c r="D8" i="17"/>
  <c r="H10" i="10"/>
  <c r="H9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<sst xmlns="http://schemas.openxmlformats.org/spreadsheetml/2006/main" count="237" uniqueCount="85">
  <si>
    <t>Points Possible</t>
  </si>
  <si>
    <t>MOLINA COMPLETE CARE</t>
  </si>
  <si>
    <t>MERCY CARE (MC)</t>
  </si>
  <si>
    <t>UNITEDHEALTHCARE COMMUNITY PLAN (UHCCP)</t>
  </si>
  <si>
    <t>BANNER UNIVERSITY FAMILY CARE (BUFC)</t>
  </si>
  <si>
    <t>HEALTH CHOICE (HC)</t>
  </si>
  <si>
    <t>Total Points</t>
  </si>
  <si>
    <t>Offerer</t>
  </si>
  <si>
    <t xml:space="preserve">ARIZONA COMPLETE HEALTH (AZCH)/ CARE1ST (CF)
</t>
  </si>
  <si>
    <t>Central GSA</t>
  </si>
  <si>
    <t>Total Score</t>
  </si>
  <si>
    <t>Rank Based on Total Score</t>
  </si>
  <si>
    <t>North GSA</t>
  </si>
  <si>
    <t>South GSA</t>
  </si>
  <si>
    <t>Rank</t>
  </si>
  <si>
    <t>Ranking Summary</t>
  </si>
  <si>
    <t>Offeror</t>
  </si>
  <si>
    <t>B4</t>
  </si>
  <si>
    <t>Rank Score from Evaluation Team</t>
  </si>
  <si>
    <t>Weighted Score</t>
  </si>
  <si>
    <t>B5</t>
  </si>
  <si>
    <t>B6</t>
  </si>
  <si>
    <t>B7</t>
  </si>
  <si>
    <t>B8</t>
  </si>
  <si>
    <t>B9</t>
  </si>
  <si>
    <t>B10</t>
  </si>
  <si>
    <t>B11</t>
  </si>
  <si>
    <t>OP 1</t>
  </si>
  <si>
    <t>OP 2</t>
  </si>
  <si>
    <t>Data</t>
  </si>
  <si>
    <t>Access to Services &amp; Supports (Peer Supports)</t>
  </si>
  <si>
    <t>Past Performance - Compliance Review</t>
  </si>
  <si>
    <t>Past Performance - Star Rating</t>
  </si>
  <si>
    <t>Family Caregiver Support</t>
  </si>
  <si>
    <t>Abuse and Neglect Prevention</t>
  </si>
  <si>
    <t>Scores Statewide</t>
  </si>
  <si>
    <t>B6: Data</t>
  </si>
  <si>
    <t>B9: Access to Services &amp; Supports (Peer Supports)</t>
  </si>
  <si>
    <t>B10: Past Performance - Compliance Review</t>
  </si>
  <si>
    <t>B11: Past Performance - Star Rating</t>
  </si>
  <si>
    <t>OP 1: Family Caregiver Support</t>
  </si>
  <si>
    <t>OP 2: Abuse and Neglect Prevention</t>
  </si>
  <si>
    <t>Measure #</t>
  </si>
  <si>
    <t>Measure Name</t>
  </si>
  <si>
    <t>Ranking Summary for Offerors by Submission Requirement</t>
  </si>
  <si>
    <t>Best and Final Offer</t>
  </si>
  <si>
    <t>Non-Benefit Cost Bid</t>
  </si>
  <si>
    <t>B8: Workforce Development</t>
  </si>
  <si>
    <t>Original Bid</t>
  </si>
  <si>
    <t>B5: Person-Centered Service Plan</t>
  </si>
  <si>
    <t>B7: Network Development</t>
  </si>
  <si>
    <t>B4: Complex Conditions &amp; Member Transitions</t>
  </si>
  <si>
    <r>
      <t xml:space="preserve">B1: Executive Summary - </t>
    </r>
    <r>
      <rPr>
        <b/>
        <sz val="11"/>
        <color rgb="FFFF0000"/>
        <rFont val="Calibri"/>
        <family val="2"/>
        <scheme val="minor"/>
      </rPr>
      <t>NOT SCORED</t>
    </r>
  </si>
  <si>
    <r>
      <t xml:space="preserve">B2: Contract Citations - </t>
    </r>
    <r>
      <rPr>
        <b/>
        <sz val="11"/>
        <color rgb="FFFF0000"/>
        <rFont val="Calibri"/>
        <family val="2"/>
        <scheme val="minor"/>
      </rPr>
      <t>NOT SCORED</t>
    </r>
  </si>
  <si>
    <r>
      <t xml:space="preserve">B3: Health Equity - </t>
    </r>
    <r>
      <rPr>
        <b/>
        <sz val="11"/>
        <color rgb="FFFF0000"/>
        <rFont val="Calibri"/>
        <family val="2"/>
        <scheme val="minor"/>
      </rPr>
      <t>NOT SCORED</t>
    </r>
  </si>
  <si>
    <t>Not Scored</t>
  </si>
  <si>
    <t>B1</t>
  </si>
  <si>
    <t>B2</t>
  </si>
  <si>
    <t>B3</t>
  </si>
  <si>
    <t>Complex Conditions &amp; Member Transitions</t>
  </si>
  <si>
    <t>Person-Centered Service Plan</t>
  </si>
  <si>
    <t>Network Development</t>
  </si>
  <si>
    <t>Workforce Development</t>
  </si>
  <si>
    <t>Executive Summary</t>
  </si>
  <si>
    <t>Contract Citations</t>
  </si>
  <si>
    <t>Health Equity</t>
  </si>
  <si>
    <t>Overall Scoring by Points</t>
  </si>
  <si>
    <t>Statewide Scores</t>
  </si>
  <si>
    <t>Statewide</t>
  </si>
  <si>
    <t>Overall Final Score by Offeror</t>
  </si>
  <si>
    <t>Maximum Points 1,000</t>
  </si>
  <si>
    <t>E/PD Scoring by Category</t>
  </si>
  <si>
    <t>Number of AHCCCS E/PD Offerors Statewide =</t>
  </si>
  <si>
    <r>
      <t xml:space="preserve">If the Offeror omits a submission, the requirement rank for that offeror for that submission will be an "X". </t>
    </r>
    <r>
      <rPr>
        <b/>
        <sz val="11"/>
        <color rgb="FFFF0000"/>
        <rFont val="Calibri"/>
        <family val="2"/>
        <scheme val="minor"/>
      </rPr>
      <t>There should not be any blanks next to the Offeror's name; either a rank or an "X"</t>
    </r>
    <r>
      <rPr>
        <sz val="11"/>
        <rFont val="Calibri"/>
        <family val="2"/>
        <scheme val="minor"/>
      </rPr>
      <t>.</t>
    </r>
  </si>
  <si>
    <t>If the Offeror withdraws from bidding, replace the Offeror name with "OFFEROR WITHDREW" in cells B11:B15.</t>
  </si>
  <si>
    <t>Best and Final Offer: C1-C4 Non-Benefit Cost Bid</t>
  </si>
  <si>
    <t>C1-C4 Non-Benefit Cost Bid</t>
  </si>
  <si>
    <t>C1-C4</t>
  </si>
  <si>
    <t>Is there a Best and Final Offer?</t>
  </si>
  <si>
    <t>ARIZONA PHYSICIANS IPA, INC.</t>
  </si>
  <si>
    <t>BANNER-UNIVERSITY CARE ADVANTAGE</t>
  </si>
  <si>
    <t>BCBSAZ HEALTH CHOICE</t>
  </si>
  <si>
    <t>HEALTH NET ACCESS</t>
  </si>
  <si>
    <t>MERCY CARE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</si>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</sst>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71233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11" borderId="28" applyNumberFormat="0" applyFont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7" borderId="12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2" fontId="2" fillId="8" borderId="8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vertical="center"/>
    </xf>
    <xf numFmtId="2" fontId="2" fillId="8" borderId="10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wrapText="1"/>
    </xf>
    <xf numFmtId="0" fontId="4" fillId="0" borderId="0" xfId="0" applyFont="1"/>
    <xf numFmtId="0" fontId="0" fillId="0" borderId="4" xfId="0" applyBorder="1"/>
    <xf numFmtId="0" fontId="0" fillId="0" borderId="6" xfId="0" applyBorder="1"/>
    <xf numFmtId="0" fontId="7" fillId="0" borderId="0" xfId="0" applyFont="1"/>
    <xf numFmtId="0" fontId="5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/>
    </xf>
    <xf numFmtId="0" fontId="11" fillId="0" borderId="0" xfId="0" applyFont="1"/>
    <xf numFmtId="0" fontId="8" fillId="1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10" borderId="7" xfId="0" applyFont="1" applyFill="1" applyBorder="1"/>
    <xf numFmtId="0" fontId="8" fillId="10" borderId="14" xfId="0" applyFont="1" applyFill="1" applyBorder="1" applyAlignment="1">
      <alignment horizontal="center"/>
    </xf>
    <xf numFmtId="3" fontId="8" fillId="10" borderId="14" xfId="0" applyNumberFormat="1" applyFont="1" applyFill="1" applyBorder="1" applyAlignment="1">
      <alignment horizontal="center"/>
    </xf>
    <xf numFmtId="4" fontId="8" fillId="10" borderId="1" xfId="0" applyNumberFormat="1" applyFont="1" applyFill="1" applyBorder="1" applyAlignment="1">
      <alignment horizontal="center"/>
    </xf>
    <xf numFmtId="0" fontId="8" fillId="10" borderId="14" xfId="0" applyFont="1" applyFill="1" applyBorder="1"/>
    <xf numFmtId="3" fontId="8" fillId="10" borderId="1" xfId="0" applyNumberFormat="1" applyFon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8" fillId="10" borderId="30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12" borderId="2" xfId="0" applyFont="1" applyFill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9" fillId="12" borderId="30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wrapText="1"/>
    </xf>
    <xf numFmtId="0" fontId="2" fillId="12" borderId="19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wrapText="1"/>
    </xf>
    <xf numFmtId="0" fontId="2" fillId="12" borderId="20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0" fillId="12" borderId="4" xfId="0" applyFill="1" applyBorder="1"/>
    <xf numFmtId="0" fontId="8" fillId="12" borderId="15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6" xfId="0" applyFill="1" applyBorder="1"/>
    <xf numFmtId="0" fontId="8" fillId="12" borderId="3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12" borderId="33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/>
    </xf>
    <xf numFmtId="2" fontId="11" fillId="12" borderId="16" xfId="0" applyNumberFormat="1" applyFont="1" applyFill="1" applyBorder="1" applyAlignment="1">
      <alignment horizontal="center"/>
    </xf>
    <xf numFmtId="4" fontId="9" fillId="12" borderId="1" xfId="0" applyNumberFormat="1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21" xfId="0" applyFill="1" applyBorder="1"/>
    <xf numFmtId="0" fontId="0" fillId="12" borderId="26" xfId="0" applyFill="1" applyBorder="1"/>
    <xf numFmtId="0" fontId="0" fillId="12" borderId="25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11" fillId="12" borderId="21" xfId="0" applyFont="1" applyFill="1" applyBorder="1" applyAlignment="1">
      <alignment horizontal="center"/>
    </xf>
    <xf numFmtId="0" fontId="11" fillId="12" borderId="19" xfId="0" applyFont="1" applyFill="1" applyBorder="1" applyAlignment="1">
      <alignment horizontal="center"/>
    </xf>
    <xf numFmtId="0" fontId="11" fillId="12" borderId="20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13" fillId="12" borderId="23" xfId="0" applyFont="1" applyFill="1" applyBorder="1" applyAlignment="1">
      <alignment horizontal="center"/>
    </xf>
    <xf numFmtId="0" fontId="13" fillId="12" borderId="18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8" fillId="12" borderId="26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8" fillId="12" borderId="21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2" fontId="11" fillId="12" borderId="21" xfId="0" applyNumberFormat="1" applyFont="1" applyFill="1" applyBorder="1" applyAlignment="1">
      <alignment horizontal="center"/>
    </xf>
    <xf numFmtId="2" fontId="11" fillId="12" borderId="26" xfId="0" applyNumberFormat="1" applyFont="1" applyFill="1" applyBorder="1" applyAlignment="1">
      <alignment horizontal="center"/>
    </xf>
    <xf numFmtId="2" fontId="11" fillId="12" borderId="19" xfId="0" applyNumberFormat="1" applyFont="1" applyFill="1" applyBorder="1" applyAlignment="1">
      <alignment horizontal="center"/>
    </xf>
    <xf numFmtId="2" fontId="11" fillId="12" borderId="18" xfId="0" applyNumberFormat="1" applyFont="1" applyFill="1" applyBorder="1" applyAlignment="1">
      <alignment horizontal="center"/>
    </xf>
    <xf numFmtId="2" fontId="11" fillId="12" borderId="20" xfId="0" applyNumberFormat="1" applyFont="1" applyFill="1" applyBorder="1" applyAlignment="1">
      <alignment horizontal="center"/>
    </xf>
    <xf numFmtId="2" fontId="11" fillId="12" borderId="35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" fontId="0" fillId="0" borderId="0" xfId="0" applyNumberFormat="1"/>
    <xf numFmtId="0" fontId="8" fillId="10" borderId="2" xfId="0" applyFont="1" applyFill="1" applyBorder="1" applyAlignment="1">
      <alignment horizontal="center" wrapText="1"/>
    </xf>
    <xf numFmtId="1" fontId="3" fillId="0" borderId="24" xfId="0" applyNumberFormat="1" applyFont="1" applyBorder="1" applyAlignment="1">
      <alignment horizontal="center" wrapText="1"/>
    </xf>
    <xf numFmtId="2" fontId="3" fillId="0" borderId="24" xfId="0" applyNumberFormat="1" applyFont="1" applyBorder="1" applyAlignment="1">
      <alignment horizontal="center" wrapText="1"/>
    </xf>
    <xf numFmtId="2" fontId="3" fillId="0" borderId="31" xfId="0" applyNumberFormat="1" applyFont="1" applyBorder="1" applyAlignment="1">
      <alignment horizontal="center" wrapText="1"/>
    </xf>
    <xf numFmtId="2" fontId="3" fillId="0" borderId="32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3" fillId="0" borderId="31" xfId="0" applyNumberFormat="1" applyFont="1" applyBorder="1" applyAlignment="1">
      <alignment horizontal="center" wrapText="1"/>
    </xf>
    <xf numFmtId="1" fontId="3" fillId="0" borderId="32" xfId="0" applyNumberFormat="1" applyFont="1" applyBorder="1" applyAlignment="1">
      <alignment horizontal="center" wrapText="1"/>
    </xf>
    <xf numFmtId="0" fontId="0" fillId="12" borderId="7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9" fillId="12" borderId="2" xfId="0" applyFont="1" applyFill="1" applyBorder="1" applyAlignment="1">
      <alignment horizontal="center" wrapText="1"/>
    </xf>
    <xf numFmtId="0" fontId="9" fillId="12" borderId="15" xfId="0" applyFont="1" applyFill="1" applyBorder="1" applyAlignment="1">
      <alignment horizontal="center" vertical="center"/>
    </xf>
    <xf numFmtId="2" fontId="14" fillId="12" borderId="24" xfId="0" applyNumberFormat="1" applyFont="1" applyFill="1" applyBorder="1" applyAlignment="1">
      <alignment horizontal="center" wrapText="1"/>
    </xf>
    <xf numFmtId="0" fontId="14" fillId="12" borderId="24" xfId="0" applyFont="1" applyFill="1" applyBorder="1" applyAlignment="1">
      <alignment horizontal="center" wrapText="1"/>
    </xf>
    <xf numFmtId="0" fontId="9" fillId="12" borderId="19" xfId="0" applyFont="1" applyFill="1" applyBorder="1" applyAlignment="1">
      <alignment horizontal="center" vertical="center"/>
    </xf>
    <xf numFmtId="2" fontId="14" fillId="12" borderId="31" xfId="0" applyNumberFormat="1" applyFont="1" applyFill="1" applyBorder="1" applyAlignment="1">
      <alignment horizontal="center" wrapText="1"/>
    </xf>
    <xf numFmtId="0" fontId="14" fillId="12" borderId="31" xfId="0" applyFont="1" applyFill="1" applyBorder="1" applyAlignment="1">
      <alignment horizontal="center" wrapText="1"/>
    </xf>
    <xf numFmtId="0" fontId="9" fillId="12" borderId="20" xfId="0" applyFont="1" applyFill="1" applyBorder="1" applyAlignment="1">
      <alignment horizontal="center" vertical="center"/>
    </xf>
    <xf numFmtId="2" fontId="14" fillId="12" borderId="32" xfId="0" applyNumberFormat="1" applyFont="1" applyFill="1" applyBorder="1" applyAlignment="1">
      <alignment horizontal="center" wrapText="1"/>
    </xf>
    <xf numFmtId="0" fontId="14" fillId="12" borderId="32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11" borderId="29" xfId="1" applyFont="1" applyBorder="1" applyAlignment="1" applyProtection="1">
      <alignment horizontal="center" vertical="center"/>
      <protection locked="0"/>
    </xf>
    <xf numFmtId="0" fontId="3" fillId="12" borderId="24" xfId="0" applyFont="1" applyFill="1" applyBorder="1" applyAlignment="1" applyProtection="1">
      <alignment horizontal="center" wrapText="1"/>
      <protection locked="0"/>
    </xf>
    <xf numFmtId="0" fontId="3" fillId="12" borderId="31" xfId="0" applyFont="1" applyFill="1" applyBorder="1" applyAlignment="1" applyProtection="1">
      <alignment horizontal="center" wrapText="1"/>
      <protection locked="0"/>
    </xf>
    <xf numFmtId="0" fontId="3" fillId="12" borderId="32" xfId="0" applyFont="1" applyFill="1" applyBorder="1" applyAlignment="1" applyProtection="1">
      <alignment horizontal="center"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32" xfId="0" applyFont="1" applyBorder="1" applyAlignment="1" applyProtection="1">
      <alignment horizontal="center" wrapText="1"/>
      <protection locked="0"/>
    </xf>
    <xf numFmtId="0" fontId="2" fillId="12" borderId="2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34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30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te" xfId="1" builtinId="10"/>
  </cellStyles>
  <dxfs count="48">
    <dxf>
      <font>
        <color theme="0"/>
      </font>
      <fill>
        <patternFill>
          <bgColor rgb="FF712339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rgb="FF318DCC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rgb="FF71233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318DCC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12339"/>
        </patternFill>
      </fill>
    </dxf>
    <dxf>
      <font>
        <color theme="0"/>
      </font>
      <fill>
        <patternFill>
          <bgColor rgb="FF318D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rgb="FF318DCC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712339"/>
        </patternFill>
      </fill>
    </dxf>
    <dxf>
      <font>
        <color theme="0"/>
      </font>
      <fill>
        <patternFill>
          <bgColor rgb="FF318DCC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712339"/>
      <color rgb="FF318DCC"/>
      <color rgb="FFFFCC0A"/>
      <color rgb="FFCCC0DA"/>
      <color rgb="FF95B3D7"/>
      <color rgb="FFDA9694"/>
      <color rgb="FFD8E4BC"/>
      <color rgb="FFFCD5B4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09CB-7B85-49AC-8FDB-936960E4B56F}">
  <dimension ref="B2:L10"/>
  <sheetViews>
    <sheetView showGridLines="0" workbookViewId="0">
      <selection activeCell="C15" sqref="C15"/>
    </sheetView>
  </sheetViews>
  <sheetFormatPr defaultRowHeight="14.5" x14ac:dyDescent="0.35"/>
  <cols>
    <col min="2" max="2" width="45.81640625" bestFit="1" customWidth="1"/>
    <col min="3" max="3" width="18.453125" customWidth="1"/>
    <col min="4" max="4" width="14" customWidth="1"/>
    <col min="6" max="6" width="45.81640625" bestFit="1" customWidth="1"/>
    <col min="7" max="7" width="10.1796875" bestFit="1" customWidth="1"/>
    <col min="8" max="8" width="12" customWidth="1"/>
    <col min="10" max="10" width="45.81640625" bestFit="1" customWidth="1"/>
    <col min="11" max="11" width="10.1796875" bestFit="1" customWidth="1"/>
    <col min="12" max="12" width="10.453125" customWidth="1"/>
  </cols>
  <sheetData>
    <row r="2" spans="2:12" ht="15" thickBot="1" x14ac:dyDescent="0.4"/>
    <row r="3" spans="2:12" ht="15" thickBot="1" x14ac:dyDescent="0.4">
      <c r="B3" s="160" t="s">
        <v>9</v>
      </c>
      <c r="C3" s="161"/>
      <c r="D3" s="162"/>
      <c r="F3" s="160" t="s">
        <v>12</v>
      </c>
      <c r="G3" s="161"/>
      <c r="H3" s="162"/>
      <c r="J3" s="160" t="s">
        <v>13</v>
      </c>
      <c r="K3" s="161"/>
      <c r="L3" s="162"/>
    </row>
    <row r="4" spans="2:12" ht="44" thickBot="1" x14ac:dyDescent="0.4">
      <c r="B4" s="8" t="s">
        <v>7</v>
      </c>
      <c r="C4" s="9" t="s">
        <v>10</v>
      </c>
      <c r="D4" s="22" t="s">
        <v>11</v>
      </c>
      <c r="F4" s="8" t="s">
        <v>7</v>
      </c>
      <c r="G4" s="9" t="s">
        <v>10</v>
      </c>
      <c r="H4" s="22" t="s">
        <v>11</v>
      </c>
      <c r="J4" s="8" t="s">
        <v>7</v>
      </c>
      <c r="K4" s="9" t="s">
        <v>10</v>
      </c>
      <c r="L4" s="22" t="s">
        <v>11</v>
      </c>
    </row>
    <row r="5" spans="2:12" ht="15" thickBot="1" x14ac:dyDescent="0.4">
      <c r="B5" s="10" t="s">
        <v>1</v>
      </c>
      <c r="C5" s="23">
        <f>'Scores Statewide'!F36</f>
        <v>638</v>
      </c>
      <c r="D5" s="11" t="e">
        <f>IF(C5=0,"",RANK(C5,$C$5:$C$10,0))</f>
        <v>#REF!</v>
      </c>
      <c r="F5" s="29" t="s">
        <v>1</v>
      </c>
      <c r="G5" s="30"/>
      <c r="H5" s="31"/>
      <c r="J5" s="29" t="s">
        <v>1</v>
      </c>
      <c r="K5" s="30"/>
      <c r="L5" s="31"/>
    </row>
    <row r="6" spans="2:12" ht="15" thickBot="1" x14ac:dyDescent="0.4">
      <c r="B6" s="12" t="s">
        <v>2</v>
      </c>
      <c r="C6" s="24">
        <f>'Scores Statewide'!G36</f>
        <v>492.5</v>
      </c>
      <c r="D6" s="13" t="e">
        <f t="shared" ref="D6:D10" si="0">IF(C6=0,"",RANK(C6,$C$5:$C$10,0))</f>
        <v>#REF!</v>
      </c>
      <c r="F6" s="32" t="s">
        <v>2</v>
      </c>
      <c r="G6" s="33"/>
      <c r="H6" s="34"/>
      <c r="J6" s="32" t="s">
        <v>2</v>
      </c>
      <c r="K6" s="33"/>
      <c r="L6" s="34"/>
    </row>
    <row r="7" spans="2:12" ht="15" thickBot="1" x14ac:dyDescent="0.4">
      <c r="B7" s="14" t="s">
        <v>3</v>
      </c>
      <c r="C7" s="25">
        <f>'Scores Statewide'!H36</f>
        <v>477</v>
      </c>
      <c r="D7" s="15" t="e">
        <f t="shared" si="0"/>
        <v>#REF!</v>
      </c>
      <c r="F7" s="32" t="s">
        <v>3</v>
      </c>
      <c r="G7" s="33"/>
      <c r="H7" s="34"/>
      <c r="J7" s="32" t="s">
        <v>3</v>
      </c>
      <c r="K7" s="33"/>
      <c r="L7" s="34"/>
    </row>
    <row r="8" spans="2:12" ht="15" thickBot="1" x14ac:dyDescent="0.4">
      <c r="B8" s="16" t="s">
        <v>4</v>
      </c>
      <c r="C8" s="26">
        <f>'Scores Statewide'!I36</f>
        <v>615</v>
      </c>
      <c r="D8" s="17" t="e">
        <f t="shared" si="0"/>
        <v>#REF!</v>
      </c>
      <c r="F8" s="32" t="s">
        <v>4</v>
      </c>
      <c r="G8" s="33"/>
      <c r="H8" s="34"/>
      <c r="J8" s="16" t="s">
        <v>4</v>
      </c>
      <c r="K8" s="26" t="e">
        <f>#REF!</f>
        <v>#REF!</v>
      </c>
      <c r="L8" s="17" t="e">
        <f>IF(K8=0,"",RANK(K8,$K$6:$K$10,0))</f>
        <v>#REF!</v>
      </c>
    </row>
    <row r="9" spans="2:12" ht="15" thickBot="1" x14ac:dyDescent="0.4">
      <c r="B9" s="18" t="s">
        <v>5</v>
      </c>
      <c r="C9" s="27">
        <f>IF('Scores Statewide'!J3="x","",'Scores Statewide'!J36)</f>
        <v>477.5</v>
      </c>
      <c r="D9" s="19" t="e">
        <f>IF(OR(C9="",C9=0),"",RANK(C9,$C$5:$C$10,0))</f>
        <v>#REF!</v>
      </c>
      <c r="F9" s="18" t="s">
        <v>5</v>
      </c>
      <c r="G9" s="27" t="e">
        <f>#REF!</f>
        <v>#REF!</v>
      </c>
      <c r="H9" s="19" t="e">
        <f>IF(G9=0,"",RANK(G9,$G$9:$G$10,0))</f>
        <v>#REF!</v>
      </c>
      <c r="J9" s="32" t="s">
        <v>5</v>
      </c>
      <c r="K9" s="33"/>
      <c r="L9" s="34"/>
    </row>
    <row r="10" spans="2:12" ht="15" thickBot="1" x14ac:dyDescent="0.4">
      <c r="B10" s="20" t="s">
        <v>8</v>
      </c>
      <c r="C10" s="28" t="e">
        <f>'Scores Statewide'!#REF!</f>
        <v>#REF!</v>
      </c>
      <c r="D10" s="21" t="e">
        <f t="shared" si="0"/>
        <v>#REF!</v>
      </c>
      <c r="F10" s="20" t="s">
        <v>8</v>
      </c>
      <c r="G10" s="28" t="e">
        <f>#REF!</f>
        <v>#REF!</v>
      </c>
      <c r="H10" s="21" t="e">
        <f>IF(G10=0,"",RANK(G10,$G$9:$G$10,0))</f>
        <v>#REF!</v>
      </c>
      <c r="J10" s="20" t="s">
        <v>8</v>
      </c>
      <c r="K10" s="28" t="e">
        <f>#REF!</f>
        <v>#REF!</v>
      </c>
      <c r="L10" s="21" t="e">
        <f>IF(K10=0,"",RANK(K10,$K$6:$K$10,0))</f>
        <v>#REF!</v>
      </c>
    </row>
  </sheetData>
  <mergeCells count="3">
    <mergeCell ref="B3:D3"/>
    <mergeCell ref="F3:H3"/>
    <mergeCell ref="J3:L3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D46DAB-C69F-4EAD-8626-AE0821DBCB48}">
            <xm:f>'Scores Statewide'!$J$3="x"</xm:f>
            <x14:dxf>
              <fill>
                <patternFill>
                  <bgColor theme="0" tint="-0.34998626667073579"/>
                </patternFill>
              </fill>
            </x14:dxf>
          </x14:cfRule>
          <xm:sqref>B9:D9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CE2C-1D58-4922-9FAB-EA35A19B8234}">
  <dimension ref="B1:L39"/>
  <sheetViews>
    <sheetView showGridLines="0" zoomScale="70" zoomScaleNormal="70" workbookViewId="0">
      <selection activeCell="C32" sqref="C32"/>
    </sheetView>
  </sheetViews>
  <sheetFormatPr defaultRowHeight="14.5" x14ac:dyDescent="0.35"/>
  <cols>
    <col min="1" max="1" width="1.7265625" customWidth="1"/>
    <col min="2" max="2" width="48" bestFit="1" customWidth="1"/>
    <col min="3" max="3" width="13.7265625" customWidth="1"/>
    <col min="4" max="4" width="1.7265625" customWidth="1"/>
    <col min="5" max="5" width="48" customWidth="1"/>
    <col min="6" max="6" width="13.7265625" customWidth="1"/>
    <col min="7" max="7" width="1.7265625" customWidth="1"/>
    <col min="8" max="8" width="48" bestFit="1" customWidth="1"/>
    <col min="9" max="9" width="13.7265625" customWidth="1"/>
    <col min="10" max="10" width="1.7265625" customWidth="1"/>
    <col min="11" max="11" width="45.54296875" bestFit="1" customWidth="1"/>
    <col min="12" max="12" width="13.7265625" customWidth="1"/>
  </cols>
  <sheetData>
    <row r="1" spans="2:12" ht="24.75" customHeight="1" x14ac:dyDescent="0.55000000000000004">
      <c r="B1" s="182" t="s">
        <v>15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2:12" ht="24.75" customHeight="1" x14ac:dyDescent="0.55000000000000004">
      <c r="B2" s="46"/>
      <c r="C2" s="46"/>
      <c r="D2" s="46"/>
      <c r="E2" s="46"/>
      <c r="F2" s="46"/>
      <c r="G2" s="46"/>
      <c r="H2" s="46"/>
      <c r="J2" s="46"/>
      <c r="K2" s="46"/>
      <c r="L2" s="46"/>
    </row>
    <row r="3" spans="2:12" ht="15" customHeight="1" x14ac:dyDescent="0.55000000000000004">
      <c r="B3" s="68" t="s">
        <v>78</v>
      </c>
      <c r="C3" s="152" t="s">
        <v>84</v>
      </c>
      <c r="D3" s="46"/>
      <c r="E3" s="46"/>
      <c r="F3" s="46"/>
      <c r="G3" s="46"/>
      <c r="H3" s="46"/>
      <c r="I3" s="46"/>
      <c r="J3" s="46"/>
      <c r="K3" s="46"/>
      <c r="L3" s="46"/>
    </row>
    <row r="4" spans="2:12" x14ac:dyDescent="0.35">
      <c r="B4" s="44"/>
      <c r="E4" s="44"/>
      <c r="F4" s="44"/>
      <c r="G4" s="44"/>
      <c r="H4" s="44"/>
      <c r="I4" s="44"/>
      <c r="J4" s="44"/>
      <c r="K4" s="44"/>
      <c r="L4" s="44"/>
    </row>
    <row r="5" spans="2:12" x14ac:dyDescent="0.35">
      <c r="B5" s="44" t="s">
        <v>73</v>
      </c>
      <c r="D5" s="44"/>
      <c r="E5" s="44"/>
      <c r="F5" s="44"/>
      <c r="G5" s="44"/>
      <c r="H5" s="44"/>
      <c r="I5" s="44"/>
      <c r="J5" s="44"/>
      <c r="K5" s="44"/>
      <c r="L5" s="44"/>
    </row>
    <row r="6" spans="2:12" x14ac:dyDescent="0.35">
      <c r="B6" s="44"/>
      <c r="D6" s="44"/>
      <c r="E6" s="44"/>
      <c r="F6" s="44"/>
      <c r="G6" s="44"/>
      <c r="H6" s="44"/>
      <c r="I6" s="44"/>
      <c r="J6" s="44"/>
      <c r="K6" s="44"/>
      <c r="L6" s="44"/>
    </row>
    <row r="7" spans="2:12" x14ac:dyDescent="0.35">
      <c r="B7" s="44" t="s">
        <v>74</v>
      </c>
      <c r="D7" s="44"/>
      <c r="E7" s="44"/>
      <c r="F7" s="44"/>
      <c r="G7" s="44"/>
      <c r="H7" s="44"/>
      <c r="I7" s="44"/>
      <c r="J7" s="44"/>
      <c r="K7" s="44"/>
      <c r="L7" s="44"/>
    </row>
    <row r="8" spans="2:12" ht="15" thickBot="1" x14ac:dyDescent="0.4">
      <c r="B8" s="44"/>
      <c r="D8" s="44"/>
      <c r="E8" s="44"/>
      <c r="F8" s="44"/>
      <c r="G8" s="44"/>
      <c r="H8" s="44"/>
      <c r="I8" s="44"/>
      <c r="J8" s="44"/>
      <c r="K8" s="44"/>
      <c r="L8" s="44"/>
    </row>
    <row r="9" spans="2:12" ht="15" thickBot="1" x14ac:dyDescent="0.4">
      <c r="B9" s="180" t="s">
        <v>52</v>
      </c>
      <c r="C9" s="181"/>
      <c r="D9" s="35"/>
      <c r="E9" s="180" t="s">
        <v>53</v>
      </c>
      <c r="F9" s="181"/>
      <c r="G9" s="35"/>
      <c r="H9" s="180" t="s">
        <v>54</v>
      </c>
      <c r="I9" s="181"/>
      <c r="J9" s="44"/>
      <c r="K9" s="178" t="s">
        <v>51</v>
      </c>
      <c r="L9" s="179"/>
    </row>
    <row r="10" spans="2:12" ht="15" thickBot="1" x14ac:dyDescent="0.4">
      <c r="B10" s="70" t="s">
        <v>16</v>
      </c>
      <c r="C10" s="71" t="s">
        <v>14</v>
      </c>
      <c r="E10" s="78" t="s">
        <v>16</v>
      </c>
      <c r="F10" s="69" t="s">
        <v>14</v>
      </c>
      <c r="H10" s="78" t="s">
        <v>16</v>
      </c>
      <c r="I10" s="69" t="s">
        <v>14</v>
      </c>
      <c r="J10" s="44"/>
      <c r="K10" s="63" t="s">
        <v>16</v>
      </c>
      <c r="L10" s="64" t="s">
        <v>14</v>
      </c>
    </row>
    <row r="11" spans="2:12" x14ac:dyDescent="0.35">
      <c r="B11" s="72" t="s">
        <v>79</v>
      </c>
      <c r="C11" s="73"/>
      <c r="E11" s="72" t="str">
        <f>$B$11</f>
        <v>ARIZONA PHYSICIANS IPA, INC.</v>
      </c>
      <c r="F11" s="73"/>
      <c r="H11" s="72" t="str">
        <f>$B$11</f>
        <v>ARIZONA PHYSICIANS IPA, INC.</v>
      </c>
      <c r="I11" s="73"/>
      <c r="J11" s="44"/>
      <c r="K11" s="65" t="str">
        <f>$B$11</f>
        <v>ARIZONA PHYSICIANS IPA, INC.</v>
      </c>
      <c r="L11" s="156">
        <v>3</v>
      </c>
    </row>
    <row r="12" spans="2:12" x14ac:dyDescent="0.35">
      <c r="B12" s="159" t="s">
        <v>80</v>
      </c>
      <c r="C12" s="75"/>
      <c r="E12" s="74" t="str">
        <f>$B$12</f>
        <v>BANNER-UNIVERSITY CARE ADVANTAGE</v>
      </c>
      <c r="F12" s="75"/>
      <c r="H12" s="74" t="str">
        <f>$B$12</f>
        <v>BANNER-UNIVERSITY CARE ADVANTAGE</v>
      </c>
      <c r="I12" s="75"/>
      <c r="J12" s="44"/>
      <c r="K12" s="66" t="str">
        <f>$B$12</f>
        <v>BANNER-UNIVERSITY CARE ADVANTAGE</v>
      </c>
      <c r="L12" s="157">
        <v>5</v>
      </c>
    </row>
    <row r="13" spans="2:12" x14ac:dyDescent="0.35">
      <c r="B13" s="74" t="s">
        <v>81</v>
      </c>
      <c r="C13" s="75"/>
      <c r="E13" s="74" t="str">
        <f>$B$13</f>
        <v>BCBSAZ HEALTH CHOICE</v>
      </c>
      <c r="F13" s="75"/>
      <c r="H13" s="74" t="str">
        <f>$B$13</f>
        <v>BCBSAZ HEALTH CHOICE</v>
      </c>
      <c r="I13" s="75"/>
      <c r="J13" s="44"/>
      <c r="K13" s="66" t="str">
        <f>$B$13</f>
        <v>BCBSAZ HEALTH CHOICE</v>
      </c>
      <c r="L13" s="157">
        <v>4</v>
      </c>
    </row>
    <row r="14" spans="2:12" x14ac:dyDescent="0.35">
      <c r="B14" s="74" t="s">
        <v>82</v>
      </c>
      <c r="C14" s="75"/>
      <c r="E14" s="74" t="str">
        <f>$B$14</f>
        <v>HEALTH NET ACCESS</v>
      </c>
      <c r="F14" s="75"/>
      <c r="H14" s="74" t="str">
        <f>$B$14</f>
        <v>HEALTH NET ACCESS</v>
      </c>
      <c r="I14" s="75"/>
      <c r="J14" s="44"/>
      <c r="K14" s="66" t="str">
        <f>$B$14</f>
        <v>HEALTH NET ACCESS</v>
      </c>
      <c r="L14" s="157">
        <v>2</v>
      </c>
    </row>
    <row r="15" spans="2:12" ht="15" thickBot="1" x14ac:dyDescent="0.4">
      <c r="B15" s="76" t="s">
        <v>83</v>
      </c>
      <c r="C15" s="77"/>
      <c r="E15" s="76" t="str">
        <f>$B$15</f>
        <v>MERCY CARE</v>
      </c>
      <c r="F15" s="77"/>
      <c r="H15" s="76" t="str">
        <f>$B$15</f>
        <v>MERCY CARE</v>
      </c>
      <c r="I15" s="77"/>
      <c r="J15" s="44"/>
      <c r="K15" s="67" t="str">
        <f>$B$15</f>
        <v>MERCY CARE</v>
      </c>
      <c r="L15" s="158">
        <v>1</v>
      </c>
    </row>
    <row r="16" spans="2:12" ht="15" thickBot="1" x14ac:dyDescent="0.4"/>
    <row r="17" spans="2:12" ht="15" thickBot="1" x14ac:dyDescent="0.4">
      <c r="B17" s="178" t="s">
        <v>49</v>
      </c>
      <c r="C17" s="179"/>
      <c r="D17" s="35"/>
      <c r="E17" s="178" t="s">
        <v>36</v>
      </c>
      <c r="F17" s="179"/>
      <c r="G17" s="35"/>
      <c r="H17" s="178" t="s">
        <v>50</v>
      </c>
      <c r="I17" s="179"/>
      <c r="K17" s="178" t="s">
        <v>47</v>
      </c>
      <c r="L17" s="179"/>
    </row>
    <row r="18" spans="2:12" ht="15" thickBot="1" x14ac:dyDescent="0.4">
      <c r="B18" s="45" t="s">
        <v>16</v>
      </c>
      <c r="C18" s="43" t="s">
        <v>14</v>
      </c>
      <c r="E18" s="45" t="s">
        <v>16</v>
      </c>
      <c r="F18" s="43" t="s">
        <v>14</v>
      </c>
      <c r="H18" s="45" t="s">
        <v>16</v>
      </c>
      <c r="I18" s="43" t="s">
        <v>14</v>
      </c>
      <c r="K18" s="45" t="s">
        <v>16</v>
      </c>
      <c r="L18" s="43" t="s">
        <v>14</v>
      </c>
    </row>
    <row r="19" spans="2:12" x14ac:dyDescent="0.35">
      <c r="B19" s="65" t="str">
        <f>$B$11</f>
        <v>ARIZONA PHYSICIANS IPA, INC.</v>
      </c>
      <c r="C19" s="156">
        <v>2</v>
      </c>
      <c r="E19" s="65" t="str">
        <f>$B$11</f>
        <v>ARIZONA PHYSICIANS IPA, INC.</v>
      </c>
      <c r="F19" s="156">
        <v>3</v>
      </c>
      <c r="H19" s="65" t="str">
        <f>$B$11</f>
        <v>ARIZONA PHYSICIANS IPA, INC.</v>
      </c>
      <c r="I19" s="156">
        <v>2</v>
      </c>
      <c r="K19" s="65" t="str">
        <f>$B$11</f>
        <v>ARIZONA PHYSICIANS IPA, INC.</v>
      </c>
      <c r="L19" s="156">
        <v>2</v>
      </c>
    </row>
    <row r="20" spans="2:12" x14ac:dyDescent="0.35">
      <c r="B20" s="66" t="str">
        <f>$B$12</f>
        <v>BANNER-UNIVERSITY CARE ADVANTAGE</v>
      </c>
      <c r="C20" s="157">
        <v>1</v>
      </c>
      <c r="E20" s="66" t="str">
        <f>$B$12</f>
        <v>BANNER-UNIVERSITY CARE ADVANTAGE</v>
      </c>
      <c r="F20" s="157">
        <v>3</v>
      </c>
      <c r="H20" s="66" t="str">
        <f>$B$12</f>
        <v>BANNER-UNIVERSITY CARE ADVANTAGE</v>
      </c>
      <c r="I20" s="157">
        <v>5</v>
      </c>
      <c r="K20" s="66" t="str">
        <f>$B$12</f>
        <v>BANNER-UNIVERSITY CARE ADVANTAGE</v>
      </c>
      <c r="L20" s="157">
        <v>3</v>
      </c>
    </row>
    <row r="21" spans="2:12" x14ac:dyDescent="0.35">
      <c r="B21" s="66" t="str">
        <f>$B$13</f>
        <v>BCBSAZ HEALTH CHOICE</v>
      </c>
      <c r="C21" s="157">
        <v>5</v>
      </c>
      <c r="E21" s="66" t="str">
        <f>$B$13</f>
        <v>BCBSAZ HEALTH CHOICE</v>
      </c>
      <c r="F21" s="157">
        <v>5</v>
      </c>
      <c r="H21" s="66" t="str">
        <f>$B$13</f>
        <v>BCBSAZ HEALTH CHOICE</v>
      </c>
      <c r="I21" s="157">
        <v>4</v>
      </c>
      <c r="K21" s="66" t="str">
        <f>$B$13</f>
        <v>BCBSAZ HEALTH CHOICE</v>
      </c>
      <c r="L21" s="157">
        <v>5</v>
      </c>
    </row>
    <row r="22" spans="2:12" x14ac:dyDescent="0.35">
      <c r="B22" s="66" t="str">
        <f>$B$14</f>
        <v>HEALTH NET ACCESS</v>
      </c>
      <c r="C22" s="157">
        <v>3</v>
      </c>
      <c r="E22" s="66" t="str">
        <f>$B$14</f>
        <v>HEALTH NET ACCESS</v>
      </c>
      <c r="F22" s="157">
        <v>1</v>
      </c>
      <c r="H22" s="66" t="str">
        <f>$B$14</f>
        <v>HEALTH NET ACCESS</v>
      </c>
      <c r="I22" s="157">
        <v>1</v>
      </c>
      <c r="K22" s="66" t="str">
        <f>$B$14</f>
        <v>HEALTH NET ACCESS</v>
      </c>
      <c r="L22" s="157">
        <v>4</v>
      </c>
    </row>
    <row r="23" spans="2:12" ht="15" thickBot="1" x14ac:dyDescent="0.4">
      <c r="B23" s="67" t="str">
        <f>$B$15</f>
        <v>MERCY CARE</v>
      </c>
      <c r="C23" s="158">
        <v>4</v>
      </c>
      <c r="E23" s="67" t="str">
        <f>$B$15</f>
        <v>MERCY CARE</v>
      </c>
      <c r="F23" s="158">
        <v>2</v>
      </c>
      <c r="H23" s="67" t="str">
        <f>$B$15</f>
        <v>MERCY CARE</v>
      </c>
      <c r="I23" s="158">
        <v>3</v>
      </c>
      <c r="K23" s="67" t="str">
        <f>$B$15</f>
        <v>MERCY CARE</v>
      </c>
      <c r="L23" s="158">
        <v>1</v>
      </c>
    </row>
    <row r="24" spans="2:12" ht="15" thickBot="1" x14ac:dyDescent="0.4">
      <c r="B24" s="38"/>
    </row>
    <row r="25" spans="2:12" ht="15" thickBot="1" x14ac:dyDescent="0.4">
      <c r="B25" s="178" t="s">
        <v>37</v>
      </c>
      <c r="C25" s="179"/>
      <c r="D25" s="35"/>
      <c r="E25" s="178" t="s">
        <v>38</v>
      </c>
      <c r="F25" s="179"/>
      <c r="G25" s="35"/>
      <c r="H25" s="178" t="s">
        <v>39</v>
      </c>
      <c r="I25" s="179"/>
      <c r="K25" s="178" t="s">
        <v>40</v>
      </c>
      <c r="L25" s="179"/>
    </row>
    <row r="26" spans="2:12" ht="15" thickBot="1" x14ac:dyDescent="0.4">
      <c r="B26" s="45" t="s">
        <v>16</v>
      </c>
      <c r="C26" s="43" t="s">
        <v>14</v>
      </c>
      <c r="E26" s="45" t="s">
        <v>16</v>
      </c>
      <c r="F26" s="43" t="s">
        <v>14</v>
      </c>
      <c r="H26" s="45" t="s">
        <v>16</v>
      </c>
      <c r="I26" s="43" t="s">
        <v>14</v>
      </c>
      <c r="K26" s="45" t="s">
        <v>16</v>
      </c>
      <c r="L26" s="43" t="s">
        <v>14</v>
      </c>
    </row>
    <row r="27" spans="2:12" x14ac:dyDescent="0.35">
      <c r="B27" s="65" t="str">
        <f>$B$11</f>
        <v>ARIZONA PHYSICIANS IPA, INC.</v>
      </c>
      <c r="C27" s="156">
        <v>4</v>
      </c>
      <c r="E27" s="65" t="str">
        <f>$B$11</f>
        <v>ARIZONA PHYSICIANS IPA, INC.</v>
      </c>
      <c r="F27" s="156">
        <v>2</v>
      </c>
      <c r="H27" s="65" t="str">
        <f>$B$11</f>
        <v>ARIZONA PHYSICIANS IPA, INC.</v>
      </c>
      <c r="I27" s="156">
        <v>1</v>
      </c>
      <c r="K27" s="65" t="str">
        <f>$B$11</f>
        <v>ARIZONA PHYSICIANS IPA, INC.</v>
      </c>
      <c r="L27" s="156">
        <v>2</v>
      </c>
    </row>
    <row r="28" spans="2:12" x14ac:dyDescent="0.35">
      <c r="B28" s="66" t="str">
        <f>$B$12</f>
        <v>BANNER-UNIVERSITY CARE ADVANTAGE</v>
      </c>
      <c r="C28" s="157">
        <v>2</v>
      </c>
      <c r="E28" s="66" t="str">
        <f>$B$12</f>
        <v>BANNER-UNIVERSITY CARE ADVANTAGE</v>
      </c>
      <c r="F28" s="157">
        <v>1</v>
      </c>
      <c r="H28" s="66" t="str">
        <f>$B$12</f>
        <v>BANNER-UNIVERSITY CARE ADVANTAGE</v>
      </c>
      <c r="I28" s="157">
        <v>2</v>
      </c>
      <c r="K28" s="66" t="str">
        <f>$B$12</f>
        <v>BANNER-UNIVERSITY CARE ADVANTAGE</v>
      </c>
      <c r="L28" s="157">
        <v>4</v>
      </c>
    </row>
    <row r="29" spans="2:12" x14ac:dyDescent="0.35">
      <c r="B29" s="66" t="str">
        <f>$B$13</f>
        <v>BCBSAZ HEALTH CHOICE</v>
      </c>
      <c r="C29" s="157">
        <v>1</v>
      </c>
      <c r="E29" s="66" t="str">
        <f>$B$13</f>
        <v>BCBSAZ HEALTH CHOICE</v>
      </c>
      <c r="F29" s="157">
        <v>5</v>
      </c>
      <c r="H29" s="66" t="str">
        <f>$B$13</f>
        <v>BCBSAZ HEALTH CHOICE</v>
      </c>
      <c r="I29" s="157">
        <v>4</v>
      </c>
      <c r="K29" s="66" t="str">
        <f>$B$13</f>
        <v>BCBSAZ HEALTH CHOICE</v>
      </c>
      <c r="L29" s="157">
        <v>1</v>
      </c>
    </row>
    <row r="30" spans="2:12" x14ac:dyDescent="0.35">
      <c r="B30" s="66" t="str">
        <f>$B$14</f>
        <v>HEALTH NET ACCESS</v>
      </c>
      <c r="C30" s="157">
        <v>3</v>
      </c>
      <c r="E30" s="66" t="str">
        <f>$B$14</f>
        <v>HEALTH NET ACCESS</v>
      </c>
      <c r="F30" s="157">
        <v>4</v>
      </c>
      <c r="H30" s="66" t="str">
        <f>$B$14</f>
        <v>HEALTH NET ACCESS</v>
      </c>
      <c r="I30" s="157">
        <v>5</v>
      </c>
      <c r="K30" s="66" t="str">
        <f>$B$14</f>
        <v>HEALTH NET ACCESS</v>
      </c>
      <c r="L30" s="157">
        <v>3</v>
      </c>
    </row>
    <row r="31" spans="2:12" ht="15" thickBot="1" x14ac:dyDescent="0.4">
      <c r="B31" s="67" t="str">
        <f>$B$15</f>
        <v>MERCY CARE</v>
      </c>
      <c r="C31" s="158">
        <v>5</v>
      </c>
      <c r="E31" s="67" t="str">
        <f>$B$15</f>
        <v>MERCY CARE</v>
      </c>
      <c r="F31" s="158">
        <v>3</v>
      </c>
      <c r="H31" s="67" t="str">
        <f>$B$15</f>
        <v>MERCY CARE</v>
      </c>
      <c r="I31" s="158">
        <v>2</v>
      </c>
      <c r="K31" s="67" t="str">
        <f>$B$15</f>
        <v>MERCY CARE</v>
      </c>
      <c r="L31" s="158">
        <v>5</v>
      </c>
    </row>
    <row r="32" spans="2:12" ht="15" thickBot="1" x14ac:dyDescent="0.4">
      <c r="E32" s="44"/>
    </row>
    <row r="33" spans="2:9" ht="15" thickBot="1" x14ac:dyDescent="0.4">
      <c r="B33" s="178" t="s">
        <v>41</v>
      </c>
      <c r="C33" s="179"/>
      <c r="D33" s="35"/>
      <c r="E33" s="178" t="s">
        <v>76</v>
      </c>
      <c r="F33" s="179"/>
      <c r="H33" s="180" t="s">
        <v>75</v>
      </c>
      <c r="I33" s="181"/>
    </row>
    <row r="34" spans="2:9" ht="15" thickBot="1" x14ac:dyDescent="0.4">
      <c r="B34" s="45" t="s">
        <v>16</v>
      </c>
      <c r="C34" s="43" t="s">
        <v>14</v>
      </c>
      <c r="E34" s="45" t="s">
        <v>16</v>
      </c>
      <c r="F34" s="43" t="s">
        <v>14</v>
      </c>
      <c r="H34" s="78" t="s">
        <v>16</v>
      </c>
      <c r="I34" s="69" t="s">
        <v>14</v>
      </c>
    </row>
    <row r="35" spans="2:9" x14ac:dyDescent="0.35">
      <c r="B35" s="65" t="str">
        <f>$B$11</f>
        <v>ARIZONA PHYSICIANS IPA, INC.</v>
      </c>
      <c r="C35" s="156">
        <v>3</v>
      </c>
      <c r="E35" s="65" t="str">
        <f>$B$11</f>
        <v>ARIZONA PHYSICIANS IPA, INC.</v>
      </c>
      <c r="F35" s="156"/>
      <c r="H35" s="72" t="str">
        <f>$B$11</f>
        <v>ARIZONA PHYSICIANS IPA, INC.</v>
      </c>
      <c r="I35" s="153">
        <v>4</v>
      </c>
    </row>
    <row r="36" spans="2:9" x14ac:dyDescent="0.35">
      <c r="B36" s="66" t="str">
        <f>$B$12</f>
        <v>BANNER-UNIVERSITY CARE ADVANTAGE</v>
      </c>
      <c r="C36" s="157">
        <v>4</v>
      </c>
      <c r="E36" s="66" t="str">
        <f>$B$12</f>
        <v>BANNER-UNIVERSITY CARE ADVANTAGE</v>
      </c>
      <c r="F36" s="157"/>
      <c r="H36" s="74" t="str">
        <f>$B$12</f>
        <v>BANNER-UNIVERSITY CARE ADVANTAGE</v>
      </c>
      <c r="I36" s="154">
        <v>4</v>
      </c>
    </row>
    <row r="37" spans="2:9" x14ac:dyDescent="0.35">
      <c r="B37" s="66" t="str">
        <f>$B$13</f>
        <v>BCBSAZ HEALTH CHOICE</v>
      </c>
      <c r="C37" s="157">
        <v>2</v>
      </c>
      <c r="E37" s="66" t="str">
        <f>$B$13</f>
        <v>BCBSAZ HEALTH CHOICE</v>
      </c>
      <c r="F37" s="157"/>
      <c r="H37" s="74" t="str">
        <f>$B$13</f>
        <v>BCBSAZ HEALTH CHOICE</v>
      </c>
      <c r="I37" s="154">
        <v>3</v>
      </c>
    </row>
    <row r="38" spans="2:9" x14ac:dyDescent="0.35">
      <c r="B38" s="66" t="str">
        <f>$B$14</f>
        <v>HEALTH NET ACCESS</v>
      </c>
      <c r="C38" s="157">
        <v>1</v>
      </c>
      <c r="E38" s="66" t="str">
        <f>$B$14</f>
        <v>HEALTH NET ACCESS</v>
      </c>
      <c r="F38" s="157"/>
      <c r="H38" s="74" t="str">
        <f>$B$14</f>
        <v>HEALTH NET ACCESS</v>
      </c>
      <c r="I38" s="154">
        <v>1</v>
      </c>
    </row>
    <row r="39" spans="2:9" ht="15" thickBot="1" x14ac:dyDescent="0.4">
      <c r="B39" s="67" t="str">
        <f>$B$15</f>
        <v>MERCY CARE</v>
      </c>
      <c r="C39" s="158">
        <v>4</v>
      </c>
      <c r="E39" s="67" t="str">
        <f>$B$15</f>
        <v>MERCY CARE</v>
      </c>
      <c r="F39" s="158"/>
      <c r="H39" s="76" t="str">
        <f>$B$15</f>
        <v>MERCY CARE</v>
      </c>
      <c r="I39" s="155">
        <v>2</v>
      </c>
    </row>
  </sheetData>
  <sheetProtection algorithmName="SHA-512" hashValue="TyClCqQedecil0jorK7p/wmkTSoFvozi7cTAkgCCKkl/PCIHGcZoV97b9lTggtemwvg7l6vjY97K3e+6JTCGEQ==" saltValue="zx7WBDNxVG6QrdSTiy+uqw==" spinCount="100000" sheet="1" objects="1" scenarios="1"/>
  <sortState xmlns:xlrd2="http://schemas.microsoft.com/office/spreadsheetml/2017/richdata2" ref="E42:E46">
    <sortCondition ref="E42:E46"/>
  </sortState>
  <mergeCells count="16">
    <mergeCell ref="B1:L1"/>
    <mergeCell ref="K9:L9"/>
    <mergeCell ref="E17:F17"/>
    <mergeCell ref="H17:I17"/>
    <mergeCell ref="K25:L25"/>
    <mergeCell ref="E25:F25"/>
    <mergeCell ref="E33:F33"/>
    <mergeCell ref="K17:L17"/>
    <mergeCell ref="H33:I33"/>
    <mergeCell ref="B33:C33"/>
    <mergeCell ref="B9:C9"/>
    <mergeCell ref="E9:F9"/>
    <mergeCell ref="H9:I9"/>
    <mergeCell ref="B17:C17"/>
    <mergeCell ref="B25:C25"/>
    <mergeCell ref="H25:I25"/>
  </mergeCells>
  <conditionalFormatting sqref="B19:C23">
    <cfRule type="expression" dxfId="35" priority="17">
      <formula>$K19="Offeror Withdrew"</formula>
    </cfRule>
  </conditionalFormatting>
  <conditionalFormatting sqref="B27:C31">
    <cfRule type="expression" dxfId="34" priority="13">
      <formula>$K27="Offeror Withdrew"</formula>
    </cfRule>
  </conditionalFormatting>
  <conditionalFormatting sqref="B35:C39">
    <cfRule type="expression" dxfId="33" priority="6">
      <formula>$B35="Offeror Withdrew"</formula>
    </cfRule>
  </conditionalFormatting>
  <conditionalFormatting sqref="E19:F23">
    <cfRule type="expression" dxfId="32" priority="16">
      <formula>$K19="Offeror Withdrew"</formula>
    </cfRule>
  </conditionalFormatting>
  <conditionalFormatting sqref="E27:F31">
    <cfRule type="expression" dxfId="31" priority="12">
      <formula>$K27="Offeror Withdrew"</formula>
    </cfRule>
  </conditionalFormatting>
  <conditionalFormatting sqref="E33:F39">
    <cfRule type="expression" dxfId="30" priority="4" stopIfTrue="1">
      <formula>$C$3="Yes"</formula>
    </cfRule>
  </conditionalFormatting>
  <conditionalFormatting sqref="E35:F39">
    <cfRule type="expression" dxfId="29" priority="5">
      <formula>$B35="Offeror Withdrew"</formula>
    </cfRule>
  </conditionalFormatting>
  <conditionalFormatting sqref="H19:I23">
    <cfRule type="expression" dxfId="28" priority="15">
      <formula>$K19="Offeror Withdrew"</formula>
    </cfRule>
  </conditionalFormatting>
  <conditionalFormatting sqref="H27:I31">
    <cfRule type="expression" dxfId="27" priority="11">
      <formula>$K27="Offeror Withdrew"</formula>
    </cfRule>
  </conditionalFormatting>
  <conditionalFormatting sqref="H33:I33">
    <cfRule type="expression" dxfId="26" priority="23">
      <formula>$C$3="Yes"</formula>
    </cfRule>
  </conditionalFormatting>
  <conditionalFormatting sqref="H34:I34">
    <cfRule type="expression" dxfId="25" priority="22">
      <formula>$C$3="Yes"</formula>
    </cfRule>
  </conditionalFormatting>
  <conditionalFormatting sqref="H35:I39">
    <cfRule type="expression" dxfId="24" priority="2">
      <formula>$H35="Offeror Withdrew"</formula>
    </cfRule>
    <cfRule type="expression" dxfId="23" priority="21">
      <formula>$C$3="Yes"</formula>
    </cfRule>
  </conditionalFormatting>
  <conditionalFormatting sqref="K11:L15">
    <cfRule type="expression" dxfId="22" priority="18">
      <formula>$K11="Offeror Withdrew"</formula>
    </cfRule>
  </conditionalFormatting>
  <conditionalFormatting sqref="K19:L23">
    <cfRule type="expression" dxfId="21" priority="14">
      <formula>$K19="Offeror Withdrew"</formula>
    </cfRule>
  </conditionalFormatting>
  <conditionalFormatting sqref="K27:L31">
    <cfRule type="expression" dxfId="20" priority="10">
      <formula>$K27="Offeror Withdrew"</formula>
    </cfRule>
  </conditionalFormatting>
  <dataValidations count="1">
    <dataValidation type="list" allowBlank="1" showInputMessage="1" showErrorMessage="1" sqref="C3 D5:D16 C9:C10" xr:uid="{571C6F6A-D5B8-40C4-95B4-75F25EFB84D0}">
      <formula1>"Select Yes/No,Yes,No"</formula1>
    </dataValidation>
  </dataValidations>
  <pageMargins left="0.7" right="0.7" top="0.75" bottom="0.75" header="0.3" footer="0.3"/>
  <pageSetup scale="3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8890-D5E5-40D1-A532-89A5CB0B1BB9}">
  <dimension ref="B1:P37"/>
  <sheetViews>
    <sheetView showGridLines="0" workbookViewId="0">
      <selection activeCell="T18" sqref="T18"/>
    </sheetView>
  </sheetViews>
  <sheetFormatPr defaultRowHeight="14.5" x14ac:dyDescent="0.35"/>
  <cols>
    <col min="2" max="2" width="10.1796875" bestFit="1" customWidth="1"/>
    <col min="3" max="3" width="42.453125" customWidth="1"/>
    <col min="4" max="4" width="17.7265625" style="1" customWidth="1"/>
    <col min="5" max="5" width="35.54296875" bestFit="1" customWidth="1"/>
    <col min="6" max="9" width="17.7265625" hidden="1" customWidth="1"/>
    <col min="10" max="10" width="19.453125" hidden="1" customWidth="1"/>
    <col min="11" max="11" width="2.54296875" hidden="1" customWidth="1"/>
    <col min="12" max="15" width="15.7265625" customWidth="1"/>
    <col min="16" max="16" width="19.26953125" customWidth="1"/>
  </cols>
  <sheetData>
    <row r="1" spans="2:16" ht="26" x14ac:dyDescent="0.6">
      <c r="B1" s="163" t="s">
        <v>71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2:16" ht="18.5" x14ac:dyDescent="0.45">
      <c r="B2" s="177" t="s">
        <v>35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2:16" x14ac:dyDescent="0.35">
      <c r="J3" s="35"/>
    </row>
    <row r="4" spans="2:16" x14ac:dyDescent="0.35">
      <c r="E4" s="183" t="s">
        <v>72</v>
      </c>
      <c r="F4" s="183"/>
      <c r="G4" s="183"/>
      <c r="H4" s="151">
        <f>COUNTIF($F$7:$J$7,"&lt;&gt;Offeror Withdrew")</f>
        <v>5</v>
      </c>
    </row>
    <row r="6" spans="2:16" ht="19" thickBot="1" x14ac:dyDescent="0.5">
      <c r="F6" s="177" t="s">
        <v>48</v>
      </c>
      <c r="G6" s="177"/>
      <c r="H6" s="177"/>
      <c r="I6" s="177"/>
      <c r="J6" s="177"/>
      <c r="L6" s="177" t="s">
        <v>45</v>
      </c>
      <c r="M6" s="177"/>
      <c r="N6" s="177"/>
      <c r="O6" s="177"/>
      <c r="P6" s="177"/>
    </row>
    <row r="7" spans="2:16" ht="75.75" customHeight="1" thickBot="1" x14ac:dyDescent="0.4">
      <c r="B7" s="6" t="s">
        <v>42</v>
      </c>
      <c r="C7" s="7" t="s">
        <v>43</v>
      </c>
      <c r="D7" s="7" t="s">
        <v>0</v>
      </c>
      <c r="E7" s="6"/>
      <c r="F7" s="42" t="str">
        <f>'Ranking Summary'!B11</f>
        <v>ARIZONA PHYSICIANS IPA, INC.</v>
      </c>
      <c r="G7" s="42" t="str">
        <f>'Ranking Summary'!B12</f>
        <v>BANNER-UNIVERSITY CARE ADVANTAGE</v>
      </c>
      <c r="H7" s="42" t="str">
        <f>'Ranking Summary'!B13</f>
        <v>BCBSAZ HEALTH CHOICE</v>
      </c>
      <c r="I7" s="42" t="str">
        <f>'Ranking Summary'!B14</f>
        <v>HEALTH NET ACCESS</v>
      </c>
      <c r="J7" s="42" t="str">
        <f>'Ranking Summary'!B15</f>
        <v>MERCY CARE</v>
      </c>
      <c r="L7" s="88" t="str">
        <f>F7</f>
        <v>ARIZONA PHYSICIANS IPA, INC.</v>
      </c>
      <c r="M7" s="88" t="str">
        <f>G7</f>
        <v>BANNER-UNIVERSITY CARE ADVANTAGE</v>
      </c>
      <c r="N7" s="88" t="str">
        <f>H7</f>
        <v>BCBSAZ HEALTH CHOICE</v>
      </c>
      <c r="O7" s="88" t="str">
        <f>I7</f>
        <v>HEALTH NET ACCESS</v>
      </c>
      <c r="P7" s="88" t="str">
        <f>J7</f>
        <v>MERCY CARE</v>
      </c>
    </row>
    <row r="8" spans="2:16" x14ac:dyDescent="0.35">
      <c r="B8" s="79" t="s">
        <v>56</v>
      </c>
      <c r="C8" s="80" t="s">
        <v>63</v>
      </c>
      <c r="D8" s="81" t="s">
        <v>55</v>
      </c>
      <c r="E8" s="82" t="s">
        <v>18</v>
      </c>
      <c r="F8" s="83"/>
      <c r="G8" s="83"/>
      <c r="H8" s="83"/>
      <c r="I8" s="83"/>
      <c r="J8" s="83"/>
      <c r="L8" s="89"/>
      <c r="M8" s="89"/>
      <c r="N8" s="89"/>
      <c r="O8" s="89"/>
      <c r="P8" s="89"/>
    </row>
    <row r="9" spans="2:16" ht="15" thickBot="1" x14ac:dyDescent="0.4">
      <c r="B9" s="84"/>
      <c r="C9" s="85"/>
      <c r="D9" s="85"/>
      <c r="E9" s="86" t="s">
        <v>19</v>
      </c>
      <c r="F9" s="87"/>
      <c r="G9" s="87"/>
      <c r="H9" s="87"/>
      <c r="I9" s="87"/>
      <c r="J9" s="87"/>
      <c r="L9" s="90"/>
      <c r="M9" s="90"/>
      <c r="N9" s="90"/>
      <c r="O9" s="90"/>
      <c r="P9" s="90"/>
    </row>
    <row r="10" spans="2:16" x14ac:dyDescent="0.35">
      <c r="B10" s="79" t="s">
        <v>57</v>
      </c>
      <c r="C10" s="80" t="s">
        <v>64</v>
      </c>
      <c r="D10" s="81" t="s">
        <v>55</v>
      </c>
      <c r="E10" s="82" t="s">
        <v>18</v>
      </c>
      <c r="F10" s="83"/>
      <c r="G10" s="83"/>
      <c r="H10" s="83"/>
      <c r="I10" s="83"/>
      <c r="J10" s="83"/>
      <c r="L10" s="89"/>
      <c r="M10" s="89"/>
      <c r="N10" s="89"/>
      <c r="O10" s="89"/>
      <c r="P10" s="89"/>
    </row>
    <row r="11" spans="2:16" ht="15" thickBot="1" x14ac:dyDescent="0.4">
      <c r="B11" s="84"/>
      <c r="C11" s="85"/>
      <c r="D11" s="85"/>
      <c r="E11" s="86" t="s">
        <v>19</v>
      </c>
      <c r="F11" s="87"/>
      <c r="G11" s="87"/>
      <c r="H11" s="87"/>
      <c r="I11" s="87"/>
      <c r="J11" s="87"/>
      <c r="L11" s="90"/>
      <c r="M11" s="90"/>
      <c r="N11" s="90"/>
      <c r="O11" s="90"/>
      <c r="P11" s="90"/>
    </row>
    <row r="12" spans="2:16" x14ac:dyDescent="0.35">
      <c r="B12" s="79" t="s">
        <v>58</v>
      </c>
      <c r="C12" s="80" t="s">
        <v>65</v>
      </c>
      <c r="D12" s="81" t="s">
        <v>55</v>
      </c>
      <c r="E12" s="82" t="s">
        <v>18</v>
      </c>
      <c r="F12" s="83"/>
      <c r="G12" s="83"/>
      <c r="H12" s="83"/>
      <c r="I12" s="83"/>
      <c r="J12" s="83"/>
      <c r="L12" s="89"/>
      <c r="M12" s="89"/>
      <c r="N12" s="89"/>
      <c r="O12" s="89"/>
      <c r="P12" s="89"/>
    </row>
    <row r="13" spans="2:16" ht="15" thickBot="1" x14ac:dyDescent="0.4">
      <c r="B13" s="84"/>
      <c r="C13" s="85"/>
      <c r="D13" s="85"/>
      <c r="E13" s="86" t="s">
        <v>19</v>
      </c>
      <c r="F13" s="87"/>
      <c r="G13" s="87"/>
      <c r="H13" s="87"/>
      <c r="I13" s="87"/>
      <c r="J13" s="87"/>
      <c r="L13" s="90"/>
      <c r="M13" s="90"/>
      <c r="N13" s="90"/>
      <c r="O13" s="90"/>
      <c r="P13" s="90"/>
    </row>
    <row r="14" spans="2:16" x14ac:dyDescent="0.35">
      <c r="B14" s="2" t="s">
        <v>17</v>
      </c>
      <c r="C14" s="5" t="s">
        <v>59</v>
      </c>
      <c r="D14" s="5">
        <v>75</v>
      </c>
      <c r="E14" s="36" t="s">
        <v>18</v>
      </c>
      <c r="F14" s="40">
        <f>IF(OR(_xlfn.XLOOKUP(F7,'Ranking Summary'!$K$11:$K$15,'Ranking Summary'!$L$11:$L$15)="",F7="Offeror Withdrew"),"",_xlfn.XLOOKUP(F7,'Ranking Summary'!$K$11:$K$15,'Ranking Summary'!$L$11:$L$15))</f>
        <v>3</v>
      </c>
      <c r="G14" s="40">
        <f>IF(OR(_xlfn.XLOOKUP(G7,'Ranking Summary'!$K$11:$K$15,'Ranking Summary'!$L$11:$L$15)="",G7="Offeror Withdrew"),"",_xlfn.XLOOKUP(G7,'Ranking Summary'!$K$11:$K$15,'Ranking Summary'!$L$11:$L$15))</f>
        <v>5</v>
      </c>
      <c r="H14" s="40">
        <f>IF(OR(_xlfn.XLOOKUP(H7,'Ranking Summary'!$K$11:$K$15,'Ranking Summary'!$L$11:$L$15)="",H7="Offeror Withdrew"),"",_xlfn.XLOOKUP(H7,'Ranking Summary'!$K$11:$K$15,'Ranking Summary'!$L$11:$L$15))</f>
        <v>4</v>
      </c>
      <c r="I14" s="40">
        <f>IF(OR(_xlfn.XLOOKUP(I7,'Ranking Summary'!$K$11:$K$15,'Ranking Summary'!$L$11:$L$15)="",I7="Offeror Withdrew"),"",_xlfn.XLOOKUP(I7,'Ranking Summary'!$K$11:$K$15,'Ranking Summary'!$L$11:$L$15))</f>
        <v>2</v>
      </c>
      <c r="J14" s="40">
        <f>IF(OR(_xlfn.XLOOKUP(J7,'Ranking Summary'!$K$11:$K$15,'Ranking Summary'!$L$11:$L$15)="",J7="Offeror Withdrew"),"",_xlfn.XLOOKUP(J7,'Ranking Summary'!$K$11:$K$15,'Ranking Summary'!$L$11:$L$15))</f>
        <v>1</v>
      </c>
      <c r="L14" s="91">
        <f>IF(OR(_xlfn.XLOOKUP(L7,'Ranking Summary'!$K$11:$K$15,'Ranking Summary'!$L$11:$L$15)="",L7="Offeror Withdrew",'Ranking Summary'!$C$3&lt;&gt;"Yes"),"",_xlfn.XLOOKUP(L7,'Ranking Summary'!$K$11:$K$15,'Ranking Summary'!$L$11:$L$15))</f>
        <v>3</v>
      </c>
      <c r="M14" s="91">
        <f>IF(OR(_xlfn.XLOOKUP(M7,'Ranking Summary'!$K$11:$K$15,'Ranking Summary'!$L$11:$L$15)="",M7="Offeror Withdrew",'Ranking Summary'!$C$3&lt;&gt;"Yes"),"",_xlfn.XLOOKUP(M7,'Ranking Summary'!$K$11:$K$15,'Ranking Summary'!$L$11:$L$15))</f>
        <v>5</v>
      </c>
      <c r="N14" s="91">
        <f>IF(OR(_xlfn.XLOOKUP(N7,'Ranking Summary'!$K$11:$K$15,'Ranking Summary'!$L$11:$L$15)="",N7="Offeror Withdrew",'Ranking Summary'!$C$3&lt;&gt;"Yes"),"",_xlfn.XLOOKUP(N7,'Ranking Summary'!$K$11:$K$15,'Ranking Summary'!$L$11:$L$15))</f>
        <v>4</v>
      </c>
      <c r="O14" s="91">
        <f>IF(OR(_xlfn.XLOOKUP(O7,'Ranking Summary'!$K$11:$K$15,'Ranking Summary'!$L$11:$L$15)="",O7="Offeror Withdrew",'Ranking Summary'!$C$3&lt;&gt;"Yes"),"",_xlfn.XLOOKUP(O7,'Ranking Summary'!$K$11:$K$15,'Ranking Summary'!$L$11:$L$15))</f>
        <v>2</v>
      </c>
      <c r="P14" s="91">
        <f>IF(OR(_xlfn.XLOOKUP(P7,'Ranking Summary'!$K$11:$K$15,'Ranking Summary'!$L$11:$L$15)="",P7="Offeror Withdrew",'Ranking Summary'!$C$3&lt;&gt;"Yes"),"",_xlfn.XLOOKUP(P7,'Ranking Summary'!$K$11:$K$15,'Ranking Summary'!$L$11:$L$15))</f>
        <v>1</v>
      </c>
    </row>
    <row r="15" spans="2:16" ht="15" thickBot="1" x14ac:dyDescent="0.4">
      <c r="B15" s="3"/>
      <c r="C15" s="4"/>
      <c r="D15" s="4"/>
      <c r="E15" s="37" t="s">
        <v>19</v>
      </c>
      <c r="F15" s="41">
        <f>IF(F7="Offeror Withdrew","",IF(OR(F14="x",F14=""),0,$D$14/$H$4*(_xlfn.RANK.AVG(F14,$F$14:$J$14,0)+COUNTIF($F$14:$J$14,"x"))))</f>
        <v>45</v>
      </c>
      <c r="G15" s="41">
        <f t="shared" ref="G15:J15" si="0">IF(G7="Offeror Withdrew","",IF(OR(G14="x",G14=""),0,$D$14/$H$4*(_xlfn.RANK.AVG(G14,$F$14:$J$14,0)+COUNTIF($F$14:$J$14,"x"))))</f>
        <v>15</v>
      </c>
      <c r="H15" s="41">
        <f t="shared" si="0"/>
        <v>30</v>
      </c>
      <c r="I15" s="41">
        <f t="shared" si="0"/>
        <v>60</v>
      </c>
      <c r="J15" s="41">
        <f t="shared" si="0"/>
        <v>75</v>
      </c>
      <c r="L15" s="92">
        <f>IF(L7="Offeror Withdrew","",IF(OR(L14="x",L14=""),0,$D$14/$H$4*(_xlfn.RANK.AVG(L14,$L$14:$P$14,0)+COUNTIF($L$14:$P$14,"x"))))</f>
        <v>45</v>
      </c>
      <c r="M15" s="92">
        <f t="shared" ref="M15:P15" si="1">IF(M7="Offeror Withdrew","",IF(OR(M14="x",M14=""),0,$D$14/$H$4*(_xlfn.RANK.AVG(M14,$L$14:$P$14,0)+COUNTIF($L$14:$P$14,"x"))))</f>
        <v>15</v>
      </c>
      <c r="N15" s="92">
        <f t="shared" si="1"/>
        <v>30</v>
      </c>
      <c r="O15" s="92">
        <f t="shared" si="1"/>
        <v>60</v>
      </c>
      <c r="P15" s="92">
        <f t="shared" si="1"/>
        <v>75</v>
      </c>
    </row>
    <row r="16" spans="2:16" x14ac:dyDescent="0.35">
      <c r="B16" s="2" t="s">
        <v>20</v>
      </c>
      <c r="C16" s="5" t="s">
        <v>60</v>
      </c>
      <c r="D16" s="5">
        <v>145</v>
      </c>
      <c r="E16" s="36" t="s">
        <v>18</v>
      </c>
      <c r="F16" s="40">
        <f>IF(OR(_xlfn.XLOOKUP(F7,'Ranking Summary'!$B$19:$B$23,'Ranking Summary'!$C$19:$C$23)="",F7="Offeror Withdrew"),"",_xlfn.XLOOKUP(F7,'Ranking Summary'!$B$19:$B$23,'Ranking Summary'!$C$19:$C$23))</f>
        <v>2</v>
      </c>
      <c r="G16" s="40">
        <f>IF(OR(_xlfn.XLOOKUP(G7,'Ranking Summary'!$B$19:$B$23,'Ranking Summary'!$C$19:$C$23)="",G7="Offeror Withdrew"),"",_xlfn.XLOOKUP(G7,'Ranking Summary'!$B$19:$B$23,'Ranking Summary'!$C$19:$C$23))</f>
        <v>1</v>
      </c>
      <c r="H16" s="40">
        <f>IF(OR(_xlfn.XLOOKUP(H7,'Ranking Summary'!$B$19:$B$23,'Ranking Summary'!$C$19:$C$23)="",H7="Offeror Withdrew"),"",_xlfn.XLOOKUP(H7,'Ranking Summary'!$B$19:$B$23,'Ranking Summary'!$C$19:$C$23))</f>
        <v>5</v>
      </c>
      <c r="I16" s="40">
        <f>IF(OR(_xlfn.XLOOKUP(I7,'Ranking Summary'!$B$19:$B$23,'Ranking Summary'!$C$19:$C$23)="",I7="Offeror Withdrew"),"",_xlfn.XLOOKUP(I7,'Ranking Summary'!$B$19:$B$23,'Ranking Summary'!$C$19:$C$23))</f>
        <v>3</v>
      </c>
      <c r="J16" s="40">
        <f>IF(OR(_xlfn.XLOOKUP(J7,'Ranking Summary'!$B$19:$B$23,'Ranking Summary'!$C$19:$C$23)="",J7="Offeror Withdrew"),"",_xlfn.XLOOKUP(J7,'Ranking Summary'!$B$19:$B$23,'Ranking Summary'!$C$19:$C$23))</f>
        <v>4</v>
      </c>
      <c r="L16" s="91">
        <f>IF(OR(_xlfn.XLOOKUP(L7,'Ranking Summary'!$B$19:$B$23,'Ranking Summary'!$C$19:$C$23)="",L7="Offeror Withdrew",'Ranking Summary'!$C$3&lt;&gt;"Yes"),"",_xlfn.XLOOKUP(L7,'Ranking Summary'!$B$19:$B$23,'Ranking Summary'!$C$19:$C$23))</f>
        <v>2</v>
      </c>
      <c r="M16" s="91">
        <f>IF(OR(_xlfn.XLOOKUP(M7,'Ranking Summary'!$B$19:$B$23,'Ranking Summary'!$C$19:$C$23)="",M7="Offeror Withdrew",'Ranking Summary'!$C$3&lt;&gt;"Yes"),"",_xlfn.XLOOKUP(M7,'Ranking Summary'!$B$19:$B$23,'Ranking Summary'!$C$19:$C$23))</f>
        <v>1</v>
      </c>
      <c r="N16" s="91">
        <f>IF(OR(_xlfn.XLOOKUP(N7,'Ranking Summary'!$B$19:$B$23,'Ranking Summary'!$C$19:$C$23)="",N7="Offeror Withdrew",'Ranking Summary'!$C$3&lt;&gt;"Yes"),"",_xlfn.XLOOKUP(N7,'Ranking Summary'!$B$19:$B$23,'Ranking Summary'!$C$19:$C$23))</f>
        <v>5</v>
      </c>
      <c r="O16" s="91">
        <f>IF(OR(_xlfn.XLOOKUP(O7,'Ranking Summary'!$B$19:$B$23,'Ranking Summary'!$C$19:$C$23)="",O7="Offeror Withdrew",'Ranking Summary'!$C$3&lt;&gt;"Yes"),"",_xlfn.XLOOKUP(O7,'Ranking Summary'!$B$19:$B$23,'Ranking Summary'!$C$19:$C$23))</f>
        <v>3</v>
      </c>
      <c r="P16" s="91">
        <f>IF(OR(_xlfn.XLOOKUP(P7,'Ranking Summary'!$B$19:$B$23,'Ranking Summary'!$C$19:$C$23)="",P7="Offeror Withdrew",'Ranking Summary'!$C$3&lt;&gt;"Yes"),"",_xlfn.XLOOKUP(P7,'Ranking Summary'!$B$19:$B$23,'Ranking Summary'!$C$19:$C$23))</f>
        <v>4</v>
      </c>
    </row>
    <row r="17" spans="2:16" ht="15" thickBot="1" x14ac:dyDescent="0.4">
      <c r="B17" s="3"/>
      <c r="C17" s="4"/>
      <c r="D17" s="4"/>
      <c r="E17" s="37" t="s">
        <v>19</v>
      </c>
      <c r="F17" s="41">
        <f>IF(F7="Offeror Withdrew","",IF(OR(F16="x",F16=""),0,$D$16/$H$4*(_xlfn.RANK.AVG(F16,$F$16:$J$16,0)+COUNTIF($F$16:$J$16,"x"))))</f>
        <v>116</v>
      </c>
      <c r="G17" s="41">
        <f t="shared" ref="G17:J17" si="2">IF(G7="Offeror Withdrew","",IF(OR(G16="x",G16=""),0,$D$16/$H$4*(_xlfn.RANK.AVG(G16,$F$16:$J$16,0)+COUNTIF($F$16:$J$16,"x"))))</f>
        <v>145</v>
      </c>
      <c r="H17" s="41">
        <f>IF(H7="Offeror Withdrew","",IF(OR(H16="x",H16=""),0,$D$16/$H$4*(_xlfn.RANK.AVG(H16,$F$16:$J$16,0)+COUNTIF($F$16:$J$16,"x"))))</f>
        <v>29</v>
      </c>
      <c r="I17" s="41">
        <f>IF(I7="Offeror Withdrew","",IF(OR(I16="x",I16=""),0,$D$16/$H$4*(_xlfn.RANK.AVG(I16,$F$16:$J$16,0)+COUNTIF($F$16:$J$16,"x"))))</f>
        <v>87</v>
      </c>
      <c r="J17" s="41">
        <f t="shared" si="2"/>
        <v>58</v>
      </c>
      <c r="L17" s="92">
        <f>IF(L7="Offeror Withdrew","",IF(OR(L16="x",L16=""),0,$D$16/$H$4*(_xlfn.RANK.AVG(L16,$L$16:$P$16,0)+COUNTIF($L$16:$P$16,"x"))))</f>
        <v>116</v>
      </c>
      <c r="M17" s="92">
        <f t="shared" ref="M17:P17" si="3">IF(M7="Offeror Withdrew","",IF(OR(M16="x",M16=""),0,$D$16/$H$4*(_xlfn.RANK.AVG(M16,$F$16:$J$16,0)+COUNTIF($F$16:$J$16,"x"))))</f>
        <v>145</v>
      </c>
      <c r="N17" s="92">
        <f t="shared" si="3"/>
        <v>29</v>
      </c>
      <c r="O17" s="92">
        <f t="shared" si="3"/>
        <v>87</v>
      </c>
      <c r="P17" s="92">
        <f t="shared" si="3"/>
        <v>58</v>
      </c>
    </row>
    <row r="18" spans="2:16" x14ac:dyDescent="0.35">
      <c r="B18" s="2" t="s">
        <v>21</v>
      </c>
      <c r="C18" s="5" t="s">
        <v>29</v>
      </c>
      <c r="D18" s="5">
        <v>40</v>
      </c>
      <c r="E18" s="36" t="s">
        <v>18</v>
      </c>
      <c r="F18" s="40">
        <f>IF(OR(_xlfn.XLOOKUP(F7,'Ranking Summary'!$E$19:$E$23,'Ranking Summary'!$F$19:$F$23)="",F7="Offeror Withdrew"),"",_xlfn.XLOOKUP(F7,'Ranking Summary'!$E$19:$E$23,'Ranking Summary'!$F$19:$F$23))</f>
        <v>3</v>
      </c>
      <c r="G18" s="40">
        <f>IF(OR(_xlfn.XLOOKUP(G7,'Ranking Summary'!$E$19:$E$23,'Ranking Summary'!$F$19:$F$23)="",G7="Offeror Withdrew"),"",_xlfn.XLOOKUP(G7,'Ranking Summary'!$E$19:$E$23,'Ranking Summary'!$F$19:$F$23))</f>
        <v>3</v>
      </c>
      <c r="H18" s="40">
        <f>IF(OR(_xlfn.XLOOKUP(H7,'Ranking Summary'!$E$19:$E$23,'Ranking Summary'!$F$19:$F$23)="",H7="Offeror Withdrew"),"",_xlfn.XLOOKUP(H7,'Ranking Summary'!$E$19:$E$23,'Ranking Summary'!$F$19:$F$23))</f>
        <v>5</v>
      </c>
      <c r="I18" s="40">
        <f>IF(OR(_xlfn.XLOOKUP(I7,'Ranking Summary'!$E$19:$E$23,'Ranking Summary'!$F$19:$F$23)="",I7="Offeror Withdrew"),"",_xlfn.XLOOKUP(I7,'Ranking Summary'!$E$19:$E$23,'Ranking Summary'!$F$19:$F$23))</f>
        <v>1</v>
      </c>
      <c r="J18" s="40">
        <f>IF(OR(_xlfn.XLOOKUP(J7,'Ranking Summary'!$E$19:$E$23,'Ranking Summary'!$F$19:$F$23)="",J7="Offeror Withdrew"),"",_xlfn.XLOOKUP(J7,'Ranking Summary'!$E$19:$E$23,'Ranking Summary'!$F$19:$F$23))</f>
        <v>2</v>
      </c>
      <c r="L18" s="91">
        <f>IF(OR(_xlfn.XLOOKUP(L7,'Ranking Summary'!$E$19:$E$23,'Ranking Summary'!$F$19:$F$23)="",L7="Offeror Withdrew",'Ranking Summary'!$C$3&lt;&gt;"Yes"),"",_xlfn.XLOOKUP(L7,'Ranking Summary'!$E$19:$E$23,'Ranking Summary'!$F$19:$F$23))</f>
        <v>3</v>
      </c>
      <c r="M18" s="91">
        <f>IF(OR(_xlfn.XLOOKUP(M7,'Ranking Summary'!$E$19:$E$23,'Ranking Summary'!$F$19:$F$23)="",M7="Offeror Withdrew",'Ranking Summary'!$C$3&lt;&gt;"Yes"),"",_xlfn.XLOOKUP(M7,'Ranking Summary'!$E$19:$E$23,'Ranking Summary'!$F$19:$F$23))</f>
        <v>3</v>
      </c>
      <c r="N18" s="91">
        <f>IF(OR(_xlfn.XLOOKUP(N7,'Ranking Summary'!$E$19:$E$23,'Ranking Summary'!$F$19:$F$23)="",N7="Offeror Withdrew",'Ranking Summary'!$C$3&lt;&gt;"Yes"),"",_xlfn.XLOOKUP(N7,'Ranking Summary'!$E$19:$E$23,'Ranking Summary'!$F$19:$F$23))</f>
        <v>5</v>
      </c>
      <c r="O18" s="91">
        <f>IF(OR(_xlfn.XLOOKUP(O7,'Ranking Summary'!$E$19:$E$23,'Ranking Summary'!$F$19:$F$23)="",O7="Offeror Withdrew",'Ranking Summary'!$C$3&lt;&gt;"Yes"),"",_xlfn.XLOOKUP(O7,'Ranking Summary'!$E$19:$E$23,'Ranking Summary'!$F$19:$F$23))</f>
        <v>1</v>
      </c>
      <c r="P18" s="91">
        <f>IF(OR(_xlfn.XLOOKUP(P7,'Ranking Summary'!$E$19:$E$23,'Ranking Summary'!$F$19:$F$23)="",P7="Offeror Withdrew",'Ranking Summary'!$C$3&lt;&gt;"Yes"),"",_xlfn.XLOOKUP(P7,'Ranking Summary'!$E$19:$E$23,'Ranking Summary'!$F$19:$F$23))</f>
        <v>2</v>
      </c>
    </row>
    <row r="19" spans="2:16" ht="13.5" customHeight="1" thickBot="1" x14ac:dyDescent="0.4">
      <c r="B19" s="3"/>
      <c r="C19" s="4"/>
      <c r="D19" s="4"/>
      <c r="E19" s="37" t="s">
        <v>19</v>
      </c>
      <c r="F19" s="41">
        <f>IF(F7="Offeror Withdrew","",IF(OR(F18="x",F18=""),0,$D$18/$H$4*(_xlfn.RANK.AVG(F18,$F$18:$J$18,0)+COUNTIF($F$18:$J$18,"x"))))</f>
        <v>20</v>
      </c>
      <c r="G19" s="41">
        <f t="shared" ref="G19:J19" si="4">IF(G7="Offeror Withdrew","",IF(OR(G18="x",G18=""),0,$D$18/$H$4*(_xlfn.RANK.AVG(G18,$F$18:$J$18,0)+COUNTIF($F$18:$J$18,"x"))))</f>
        <v>20</v>
      </c>
      <c r="H19" s="41">
        <f t="shared" si="4"/>
        <v>8</v>
      </c>
      <c r="I19" s="41">
        <f t="shared" si="4"/>
        <v>40</v>
      </c>
      <c r="J19" s="41">
        <f t="shared" si="4"/>
        <v>32</v>
      </c>
      <c r="L19" s="92">
        <f>IF(L7="Offeror Withdrew","",IF(OR(L18="x",L18=""),0,$D$18/$H$4*(_xlfn.RANK.AVG(L18,$L$18:$P$18,0)+COUNTIF($L$18:$P$18,"x"))))</f>
        <v>20</v>
      </c>
      <c r="M19" s="92">
        <f t="shared" ref="M19:P19" si="5">IF(M7="Offeror Withdrew","",IF(OR(M18="x",M18=""),0,$D$18/$H$4*(_xlfn.RANK.AVG(M18,$L$18:$P$18,0)+COUNTIF($L$18:$P$18,"x"))))</f>
        <v>20</v>
      </c>
      <c r="N19" s="92">
        <f t="shared" si="5"/>
        <v>8</v>
      </c>
      <c r="O19" s="92">
        <f t="shared" si="5"/>
        <v>40</v>
      </c>
      <c r="P19" s="92">
        <f t="shared" si="5"/>
        <v>32</v>
      </c>
    </row>
    <row r="20" spans="2:16" x14ac:dyDescent="0.35">
      <c r="B20" s="2" t="s">
        <v>22</v>
      </c>
      <c r="C20" s="5" t="s">
        <v>61</v>
      </c>
      <c r="D20" s="5">
        <v>75</v>
      </c>
      <c r="E20" s="36" t="s">
        <v>18</v>
      </c>
      <c r="F20" s="40">
        <f>IF(OR(F7="Offeror Withdrew",_xlfn.XLOOKUP(F7,'Ranking Summary'!$H$19:$H$23,'Ranking Summary'!$I$19:$I$23)=""),"",_xlfn.XLOOKUP(F7,'Ranking Summary'!$H$19:$H$23,'Ranking Summary'!$I$19:$I$23))</f>
        <v>2</v>
      </c>
      <c r="G20" s="40">
        <f>IF(OR(G7="Offeror Withdrew",_xlfn.XLOOKUP(G7,'Ranking Summary'!$H$19:$H$23,'Ranking Summary'!$I$19:$I$23)=""),"",_xlfn.XLOOKUP(G7,'Ranking Summary'!$H$19:$H$23,'Ranking Summary'!$I$19:$I$23))</f>
        <v>5</v>
      </c>
      <c r="H20" s="40">
        <f>IF(OR(H7="Offeror Withdrew",_xlfn.XLOOKUP(H7,'Ranking Summary'!$H$19:$H$23,'Ranking Summary'!$I$19:$I$23)=""),"",_xlfn.XLOOKUP(H7,'Ranking Summary'!$H$19:$H$23,'Ranking Summary'!$I$19:$I$23))</f>
        <v>4</v>
      </c>
      <c r="I20" s="40">
        <f>IF(OR(I7="Offeror Withdrew",_xlfn.XLOOKUP(I7,'Ranking Summary'!$H$19:$H$23,'Ranking Summary'!$I$19:$I$23)=""),"",_xlfn.XLOOKUP(I7,'Ranking Summary'!$H$19:$H$23,'Ranking Summary'!$I$19:$I$23))</f>
        <v>1</v>
      </c>
      <c r="J20" s="40">
        <f>IF(OR(J7="Offeror Withdrew",_xlfn.XLOOKUP(J7,'Ranking Summary'!$H$19:$H$23,'Ranking Summary'!$I$19:$I$23)=""),"",_xlfn.XLOOKUP(J7,'Ranking Summary'!$H$19:$H$23,'Ranking Summary'!$I$19:$I$23))</f>
        <v>3</v>
      </c>
      <c r="L20" s="91">
        <f>IF(OR(L7="Offeror Withdrew",_xlfn.XLOOKUP(L7,'Ranking Summary'!$H$19:$H$23,'Ranking Summary'!$I$19:$I$23)="",'Ranking Summary'!$C$3&lt;&gt;"Yes"),"",_xlfn.XLOOKUP(L7,'Ranking Summary'!$H$19:$H$23,'Ranking Summary'!$I$19:$I$23))</f>
        <v>2</v>
      </c>
      <c r="M20" s="91">
        <f>IF(OR(M7="Offeror Withdrew",_xlfn.XLOOKUP(M7,'Ranking Summary'!$H$19:$H$23,'Ranking Summary'!$I$19:$I$23)="",'Ranking Summary'!$C$3&lt;&gt;"Yes"),"",_xlfn.XLOOKUP(M7,'Ranking Summary'!$H$19:$H$23,'Ranking Summary'!$I$19:$I$23))</f>
        <v>5</v>
      </c>
      <c r="N20" s="91">
        <f>IF(OR(N7="Offeror Withdrew",_xlfn.XLOOKUP(N7,'Ranking Summary'!$H$19:$H$23,'Ranking Summary'!$I$19:$I$23)="",'Ranking Summary'!$C$3&lt;&gt;"Yes"),"",_xlfn.XLOOKUP(N7,'Ranking Summary'!$H$19:$H$23,'Ranking Summary'!$I$19:$I$23))</f>
        <v>4</v>
      </c>
      <c r="O20" s="91">
        <f>IF(OR(O7="Offeror Withdrew",_xlfn.XLOOKUP(O7,'Ranking Summary'!$H$19:$H$23,'Ranking Summary'!$I$19:$I$23)="",'Ranking Summary'!$C$3&lt;&gt;"Yes"),"",_xlfn.XLOOKUP(O7,'Ranking Summary'!$H$19:$H$23,'Ranking Summary'!$I$19:$I$23))</f>
        <v>1</v>
      </c>
      <c r="P20" s="91">
        <f>IF(OR(P7="Offeror Withdrew",_xlfn.XLOOKUP(P7,'Ranking Summary'!$H$19:$H$23,'Ranking Summary'!$I$19:$I$23)="",'Ranking Summary'!$C$3&lt;&gt;"Yes"),"",_xlfn.XLOOKUP(P7,'Ranking Summary'!$H$19:$H$23,'Ranking Summary'!$I$19:$I$23))</f>
        <v>3</v>
      </c>
    </row>
    <row r="21" spans="2:16" ht="15" thickBot="1" x14ac:dyDescent="0.4">
      <c r="B21" s="3"/>
      <c r="C21" s="4"/>
      <c r="D21" s="4"/>
      <c r="E21" s="37" t="s">
        <v>19</v>
      </c>
      <c r="F21" s="41">
        <f>IF(F7="Offeror Withdrew","",IF(OR(F20="x",F20=""),0,$D$20/$H$4*(_xlfn.RANK.AVG(F20,$F$20:$J$20,0)+COUNTIF($F$20:$J$20,"x"))))</f>
        <v>60</v>
      </c>
      <c r="G21" s="41">
        <f t="shared" ref="G21:J21" si="6">IF(G7="Offeror Withdrew","",IF(OR(G20="x",G20=""),0,$D$20/$H$4*(_xlfn.RANK.AVG(G20,$F$20:$J$20,0)+COUNTIF($F$20:$J$20,"x"))))</f>
        <v>15</v>
      </c>
      <c r="H21" s="41">
        <f t="shared" si="6"/>
        <v>30</v>
      </c>
      <c r="I21" s="41">
        <f t="shared" si="6"/>
        <v>75</v>
      </c>
      <c r="J21" s="41">
        <f t="shared" si="6"/>
        <v>45</v>
      </c>
      <c r="L21" s="92">
        <f>IF(L7="Offeror Withdrew","",IF(OR(L20="x",L20=""),0,$D$20/$H$4*(_xlfn.RANK.AVG(L20,$L$20:$P$20,0)+COUNTIF($L$20:$P$20,"x"))))</f>
        <v>60</v>
      </c>
      <c r="M21" s="92">
        <f t="shared" ref="M21:P21" si="7">IF(M7="Offeror Withdrew","",IF(OR(M20="x",M20=""),0,$D$20/$H$4*(_xlfn.RANK.AVG(M20,$L$20:$P$20,0)+COUNTIF($L$20:$P$20,"x"))))</f>
        <v>15</v>
      </c>
      <c r="N21" s="92">
        <f t="shared" si="7"/>
        <v>30</v>
      </c>
      <c r="O21" s="92">
        <f t="shared" si="7"/>
        <v>75</v>
      </c>
      <c r="P21" s="92">
        <f t="shared" si="7"/>
        <v>45</v>
      </c>
    </row>
    <row r="22" spans="2:16" x14ac:dyDescent="0.35">
      <c r="B22" s="2" t="s">
        <v>23</v>
      </c>
      <c r="C22" s="5" t="s">
        <v>62</v>
      </c>
      <c r="D22" s="5">
        <v>145</v>
      </c>
      <c r="E22" s="36" t="s">
        <v>18</v>
      </c>
      <c r="F22" s="40">
        <f>IF(OR(F7="Offeror Withdrew",_xlfn.XLOOKUP(F7,'Ranking Summary'!$K$19:$K$23,'Ranking Summary'!$L$19:$L$23)=""),"",_xlfn.XLOOKUP(F7,'Ranking Summary'!$K$19:$K$23,'Ranking Summary'!$L$19:$L$23))</f>
        <v>2</v>
      </c>
      <c r="G22" s="40">
        <f>IF(OR(G7="Offeror Withdrew",_xlfn.XLOOKUP(G7,'Ranking Summary'!$K$19:$K$23,'Ranking Summary'!$L$19:$L$23)=""),"",_xlfn.XLOOKUP(G7,'Ranking Summary'!$K$19:$K$23,'Ranking Summary'!$L$19:$L$23))</f>
        <v>3</v>
      </c>
      <c r="H22" s="40">
        <f>IF(OR(H7="Offeror Withdrew",_xlfn.XLOOKUP(H7,'Ranking Summary'!$K$19:$K$23,'Ranking Summary'!$L$19:$L$23)=""),"",_xlfn.XLOOKUP(H7,'Ranking Summary'!$K$19:$K$23,'Ranking Summary'!$L$19:$L$23))</f>
        <v>5</v>
      </c>
      <c r="I22" s="40">
        <f>IF(OR(I7="Offeror Withdrew",_xlfn.XLOOKUP(I7,'Ranking Summary'!$K$19:$K$23,'Ranking Summary'!$L$19:$L$23)=""),"",_xlfn.XLOOKUP(I7,'Ranking Summary'!$K$19:$K$23,'Ranking Summary'!$L$19:$L$23))</f>
        <v>4</v>
      </c>
      <c r="J22" s="40">
        <f>IF(OR(J7="Offeror Withdrew",_xlfn.XLOOKUP(J7,'Ranking Summary'!$K$19:$K$23,'Ranking Summary'!$L$19:$L$23)=""),"",_xlfn.XLOOKUP(J7,'Ranking Summary'!$K$19:$K$23,'Ranking Summary'!$L$19:$L$23))</f>
        <v>1</v>
      </c>
      <c r="L22" s="91">
        <f>IF(OR(L7="Offeror Withdrew",_xlfn.XLOOKUP(L7,'Ranking Summary'!$K$19:$K$23,'Ranking Summary'!$L$19:$L$23)="",'Ranking Summary'!$C$3&lt;&gt;"Yes"),"",_xlfn.XLOOKUP(L7,'Ranking Summary'!$K$19:$K$23,'Ranking Summary'!$L$19:$L$23))</f>
        <v>2</v>
      </c>
      <c r="M22" s="91">
        <f>IF(OR(M7="Offeror Withdrew",_xlfn.XLOOKUP(M7,'Ranking Summary'!$K$19:$K$23,'Ranking Summary'!$L$19:$L$23)="",'Ranking Summary'!$C$3&lt;&gt;"Yes"),"",_xlfn.XLOOKUP(M7,'Ranking Summary'!$K$19:$K$23,'Ranking Summary'!$L$19:$L$23))</f>
        <v>3</v>
      </c>
      <c r="N22" s="91">
        <f>IF(OR(N7="Offeror Withdrew",_xlfn.XLOOKUP(N7,'Ranking Summary'!$K$19:$K$23,'Ranking Summary'!$L$19:$L$23)="",'Ranking Summary'!$C$3&lt;&gt;"Yes"),"",_xlfn.XLOOKUP(N7,'Ranking Summary'!$K$19:$K$23,'Ranking Summary'!$L$19:$L$23))</f>
        <v>5</v>
      </c>
      <c r="O22" s="91">
        <f>IF(OR(O7="Offeror Withdrew",_xlfn.XLOOKUP(O7,'Ranking Summary'!$K$19:$K$23,'Ranking Summary'!$L$19:$L$23)="",'Ranking Summary'!$C$3&lt;&gt;"Yes"),"",_xlfn.XLOOKUP(O7,'Ranking Summary'!$K$19:$K$23,'Ranking Summary'!$L$19:$L$23))</f>
        <v>4</v>
      </c>
      <c r="P22" s="91">
        <f>IF(OR(P7="Offeror Withdrew",_xlfn.XLOOKUP(P7,'Ranking Summary'!$K$19:$K$23,'Ranking Summary'!$L$19:$L$23)="",'Ranking Summary'!$C$3&lt;&gt;"Yes"),"",_xlfn.XLOOKUP(P7,'Ranking Summary'!$K$19:$K$23,'Ranking Summary'!$L$19:$L$23))</f>
        <v>1</v>
      </c>
    </row>
    <row r="23" spans="2:16" ht="15" thickBot="1" x14ac:dyDescent="0.4">
      <c r="B23" s="3"/>
      <c r="C23" s="4"/>
      <c r="D23" s="4"/>
      <c r="E23" s="37" t="s">
        <v>19</v>
      </c>
      <c r="F23" s="41">
        <f>IF(F7="Offeror Withdrew","",IF(OR(F22="x",F22=""),0,$D$22/$H$4*(_xlfn.RANK.AVG(F22,$F$22:$J$22,0)+COUNTIF($F$22:$J$22,"x"))))</f>
        <v>116</v>
      </c>
      <c r="G23" s="41">
        <f t="shared" ref="G23:J23" si="8">IF(G7="Offeror Withdrew","",IF(OR(G22="x",G22=""),0,$D$22/$H$4*(_xlfn.RANK.AVG(G22,$F$22:$J$22,0)+COUNTIF($F$22:$J$22,"x"))))</f>
        <v>87</v>
      </c>
      <c r="H23" s="41">
        <f t="shared" si="8"/>
        <v>29</v>
      </c>
      <c r="I23" s="41">
        <f t="shared" si="8"/>
        <v>58</v>
      </c>
      <c r="J23" s="41">
        <f t="shared" si="8"/>
        <v>145</v>
      </c>
      <c r="L23" s="92">
        <f>IF(L7="Offeror Withdrew","",IF(OR(L22="x",L22=""),0,$D$22/$H$4*(_xlfn.RANK.AVG(L22,$L$22:$P$22,0)+COUNTIF($L$22:$P$22,"x"))))</f>
        <v>116</v>
      </c>
      <c r="M23" s="92">
        <f t="shared" ref="M23:P23" si="9">IF(M7="Offeror Withdrew","",IF(OR(M22="x",M22=""),0,$D$22/$H$4*(_xlfn.RANK.AVG(M22,$L$22:$P$22,0)+COUNTIF($L$22:$P$22,"x"))))</f>
        <v>87</v>
      </c>
      <c r="N23" s="92">
        <f t="shared" si="9"/>
        <v>29</v>
      </c>
      <c r="O23" s="92">
        <f t="shared" si="9"/>
        <v>58</v>
      </c>
      <c r="P23" s="92">
        <f t="shared" si="9"/>
        <v>145</v>
      </c>
    </row>
    <row r="24" spans="2:16" x14ac:dyDescent="0.35">
      <c r="B24" s="2" t="s">
        <v>24</v>
      </c>
      <c r="C24" s="5" t="s">
        <v>30</v>
      </c>
      <c r="D24" s="5">
        <v>75</v>
      </c>
      <c r="E24" s="36" t="s">
        <v>18</v>
      </c>
      <c r="F24" s="40">
        <f>IF(OR(F7="Offeror Withdrew","",_xlfn.XLOOKUP(F7,'Ranking Summary'!$B$27:$B$31,'Ranking Summary'!$C$27:$C$31)=""),"",_xlfn.XLOOKUP(F7,'Ranking Summary'!$B$27:$B$31,'Ranking Summary'!$C$27:$C$31))</f>
        <v>4</v>
      </c>
      <c r="G24" s="40">
        <f>IF(OR(G7="Offeror Withdrew","",_xlfn.XLOOKUP(G7,'Ranking Summary'!$B$27:$B$31,'Ranking Summary'!$C$27:$C$31)=""),"",_xlfn.XLOOKUP(G7,'Ranking Summary'!$B$27:$B$31,'Ranking Summary'!$C$27:$C$31))</f>
        <v>2</v>
      </c>
      <c r="H24" s="40">
        <f>IF(OR(H7="Offeror Withdrew","",_xlfn.XLOOKUP(H7,'Ranking Summary'!$B$27:$B$31,'Ranking Summary'!$C$27:$C$31)=""),"",_xlfn.XLOOKUP(H7,'Ranking Summary'!$B$27:$B$31,'Ranking Summary'!$C$27:$C$31))</f>
        <v>1</v>
      </c>
      <c r="I24" s="40">
        <f>IF(OR(I7="Offeror Withdrew","",_xlfn.XLOOKUP(I7,'Ranking Summary'!$B$27:$B$31,'Ranking Summary'!$C$27:$C$31)=""),"",_xlfn.XLOOKUP(I7,'Ranking Summary'!$B$27:$B$31,'Ranking Summary'!$C$27:$C$31))</f>
        <v>3</v>
      </c>
      <c r="J24" s="40">
        <f>IF(OR(J7="Offeror Withdrew","",_xlfn.XLOOKUP(J7,'Ranking Summary'!$B$27:$B$31,'Ranking Summary'!$C$27:$C$31)=""),"",_xlfn.XLOOKUP(J7,'Ranking Summary'!$B$27:$B$31,'Ranking Summary'!$C$27:$C$31))</f>
        <v>5</v>
      </c>
      <c r="L24" s="91">
        <f>IF(OR(L7="Offeror Withdrew","",_xlfn.XLOOKUP(L7,'Ranking Summary'!$B$27:$B$31,'Ranking Summary'!$C$27:$C$31)="",'Ranking Summary'!$C$3&lt;&gt;"Yes"),"",_xlfn.XLOOKUP(L7,'Ranking Summary'!$B$27:$B$31,'Ranking Summary'!$C$27:$C$31))</f>
        <v>4</v>
      </c>
      <c r="M24" s="91">
        <f>IF(OR(M7="Offeror Withdrew","",_xlfn.XLOOKUP(M7,'Ranking Summary'!$B$27:$B$31,'Ranking Summary'!$C$27:$C$31)="",'Ranking Summary'!$C$3&lt;&gt;"Yes"),"",_xlfn.XLOOKUP(M7,'Ranking Summary'!$B$27:$B$31,'Ranking Summary'!$C$27:$C$31))</f>
        <v>2</v>
      </c>
      <c r="N24" s="91">
        <f>IF(OR(N7="Offeror Withdrew","",_xlfn.XLOOKUP(N7,'Ranking Summary'!$B$27:$B$31,'Ranking Summary'!$C$27:$C$31)="",'Ranking Summary'!$C$3&lt;&gt;"Yes"),"",_xlfn.XLOOKUP(N7,'Ranking Summary'!$B$27:$B$31,'Ranking Summary'!$C$27:$C$31))</f>
        <v>1</v>
      </c>
      <c r="O24" s="91">
        <f>IF(OR(O7="Offeror Withdrew","",_xlfn.XLOOKUP(O7,'Ranking Summary'!$B$27:$B$31,'Ranking Summary'!$C$27:$C$31)="",'Ranking Summary'!$C$3&lt;&gt;"Yes"),"",_xlfn.XLOOKUP(O7,'Ranking Summary'!$B$27:$B$31,'Ranking Summary'!$C$27:$C$31))</f>
        <v>3</v>
      </c>
      <c r="P24" s="91">
        <f>IF(OR(P7="Offeror Withdrew","",_xlfn.XLOOKUP(P7,'Ranking Summary'!$B$27:$B$31,'Ranking Summary'!$C$27:$C$31)="",'Ranking Summary'!$C$3&lt;&gt;"Yes"),"",_xlfn.XLOOKUP(P7,'Ranking Summary'!$B$27:$B$31,'Ranking Summary'!$C$27:$C$31))</f>
        <v>5</v>
      </c>
    </row>
    <row r="25" spans="2:16" ht="15" thickBot="1" x14ac:dyDescent="0.4">
      <c r="B25" s="3"/>
      <c r="C25" s="4"/>
      <c r="D25" s="4"/>
      <c r="E25" s="37" t="s">
        <v>19</v>
      </c>
      <c r="F25" s="41">
        <f>IF(F7="Offeror Withdrew","",IF(OR(F24="x",F24=""),0,$D$24/$H$4*(_xlfn.RANK.AVG(F24,$F$24:$J$24,0)+COUNTIF($F$24:$J$24,"x"))))</f>
        <v>30</v>
      </c>
      <c r="G25" s="41">
        <f t="shared" ref="G25:J25" si="10">IF(G7="Offeror Withdrew","",IF(OR(G24="x",G24=""),0,$D$24/$H$4*(_xlfn.RANK.AVG(G24,$F$24:$J$24,0)+COUNTIF($F$24:$J$24,"x"))))</f>
        <v>60</v>
      </c>
      <c r="H25" s="41">
        <f t="shared" si="10"/>
        <v>75</v>
      </c>
      <c r="I25" s="41">
        <f t="shared" si="10"/>
        <v>45</v>
      </c>
      <c r="J25" s="41">
        <f t="shared" si="10"/>
        <v>15</v>
      </c>
      <c r="L25" s="92">
        <f>IF(L7="Offeror Withdrew","",IF(OR(L24="x",L24=""),0,$D$24/$H$4*(_xlfn.RANK.AVG(L24,$L$24:$P$24,0)+COUNTIF($L$24:$P$24,"x"))))</f>
        <v>30</v>
      </c>
      <c r="M25" s="92">
        <f t="shared" ref="M25:P25" si="11">IF(M7="Offeror Withdrew","",IF(OR(M24="x",M24=""),0,$D$24/$H$4*(_xlfn.RANK.AVG(M24,$L$24:$P$24,0)+COUNTIF($L$24:$P$24,"x"))))</f>
        <v>60</v>
      </c>
      <c r="N25" s="92">
        <f t="shared" si="11"/>
        <v>75</v>
      </c>
      <c r="O25" s="92">
        <f t="shared" si="11"/>
        <v>45</v>
      </c>
      <c r="P25" s="92">
        <f t="shared" si="11"/>
        <v>15</v>
      </c>
    </row>
    <row r="26" spans="2:16" ht="15.65" customHeight="1" x14ac:dyDescent="0.35">
      <c r="B26" s="2" t="s">
        <v>25</v>
      </c>
      <c r="C26" s="5" t="s">
        <v>31</v>
      </c>
      <c r="D26" s="5">
        <v>35</v>
      </c>
      <c r="E26" s="36" t="s">
        <v>18</v>
      </c>
      <c r="F26" s="40">
        <f>IF(OR(F7="Offeror Withdrew",_xlfn.XLOOKUP(F7,'Ranking Summary'!$E$27:$E$31,'Ranking Summary'!$F$27:$F$31)=""),"",_xlfn.XLOOKUP(F7,'Ranking Summary'!$E$27:$E$31,'Ranking Summary'!$F$27:$F$31))</f>
        <v>2</v>
      </c>
      <c r="G26" s="40">
        <f>IF(OR(G7="Offeror Withdrew",_xlfn.XLOOKUP(G7,'Ranking Summary'!$E$27:$E$31,'Ranking Summary'!$F$27:$F$31)=""),"",_xlfn.XLOOKUP(G7,'Ranking Summary'!$E$27:$E$31,'Ranking Summary'!$F$27:$F$31))</f>
        <v>1</v>
      </c>
      <c r="H26" s="40">
        <f>IF(OR(H7="Offeror Withdrew",_xlfn.XLOOKUP(H7,'Ranking Summary'!$E$27:$E$31,'Ranking Summary'!$F$27:$F$31)=""),"",_xlfn.XLOOKUP(H7,'Ranking Summary'!$E$27:$E$31,'Ranking Summary'!$F$27:$F$31))</f>
        <v>5</v>
      </c>
      <c r="I26" s="40">
        <f>IF(OR(I7="Offeror Withdrew",_xlfn.XLOOKUP(I7,'Ranking Summary'!$E$27:$E$31,'Ranking Summary'!$F$27:$F$31)=""),"",_xlfn.XLOOKUP(I7,'Ranking Summary'!$E$27:$E$31,'Ranking Summary'!$F$27:$F$31))</f>
        <v>4</v>
      </c>
      <c r="J26" s="40">
        <f>IF(OR(J7="Offeror Withdrew",_xlfn.XLOOKUP(J7,'Ranking Summary'!$E$27:$E$31,'Ranking Summary'!$F$27:$F$31)=""),"",_xlfn.XLOOKUP(J7,'Ranking Summary'!$E$27:$E$31,'Ranking Summary'!$F$27:$F$31))</f>
        <v>3</v>
      </c>
      <c r="L26" s="91">
        <f>IF(OR(L7="Offeror Withdrew",_xlfn.XLOOKUP(L7,'Ranking Summary'!$E$27:$E$31,'Ranking Summary'!$F$27:$F$31)="",'Ranking Summary'!$C$3&lt;&gt;"Yes"),"",_xlfn.XLOOKUP(L7,'Ranking Summary'!$E$27:$E$31,'Ranking Summary'!$F$27:$F$31))</f>
        <v>2</v>
      </c>
      <c r="M26" s="91">
        <f>IF(OR(M7="Offeror Withdrew",_xlfn.XLOOKUP(M7,'Ranking Summary'!$E$27:$E$31,'Ranking Summary'!$F$27:$F$31)="",'Ranking Summary'!$C$3&lt;&gt;"Yes"),"",_xlfn.XLOOKUP(M7,'Ranking Summary'!$E$27:$E$31,'Ranking Summary'!$F$27:$F$31))</f>
        <v>1</v>
      </c>
      <c r="N26" s="91">
        <f>IF(OR(N7="Offeror Withdrew",_xlfn.XLOOKUP(N7,'Ranking Summary'!$E$27:$E$31,'Ranking Summary'!$F$27:$F$31)="",'Ranking Summary'!$C$3&lt;&gt;"Yes"),"",_xlfn.XLOOKUP(N7,'Ranking Summary'!$E$27:$E$31,'Ranking Summary'!$F$27:$F$31))</f>
        <v>5</v>
      </c>
      <c r="O26" s="91">
        <f>IF(OR(O7="Offeror Withdrew",_xlfn.XLOOKUP(O7,'Ranking Summary'!$E$27:$E$31,'Ranking Summary'!$F$27:$F$31)="",'Ranking Summary'!$C$3&lt;&gt;"Yes"),"",_xlfn.XLOOKUP(O7,'Ranking Summary'!$E$27:$E$31,'Ranking Summary'!$F$27:$F$31))</f>
        <v>4</v>
      </c>
      <c r="P26" s="91">
        <f>IF(OR(P7="Offeror Withdrew",_xlfn.XLOOKUP(P7,'Ranking Summary'!$E$27:$E$31,'Ranking Summary'!$F$27:$F$31)="",'Ranking Summary'!$C$3&lt;&gt;"Yes"),"",_xlfn.XLOOKUP(P7,'Ranking Summary'!$E$27:$E$31,'Ranking Summary'!$F$27:$F$31))</f>
        <v>3</v>
      </c>
    </row>
    <row r="27" spans="2:16" ht="15.65" customHeight="1" thickBot="1" x14ac:dyDescent="0.4">
      <c r="B27" s="3"/>
      <c r="C27" s="4"/>
      <c r="D27" s="4"/>
      <c r="E27" s="37" t="s">
        <v>19</v>
      </c>
      <c r="F27" s="41">
        <f>IF(F7="Offeror Withdrew","",IF(OR(F26="x",F26=""),0,$D$26/$H$4*(_xlfn.RANK.AVG(F26,$F$26:$J$26,0)+COUNTIF($F$26:$J$26,"x"))))</f>
        <v>28</v>
      </c>
      <c r="G27" s="41">
        <f>IF(G7="Offeror Withdrew","",IF(OR(G26="x",G26=""),0,$D$26/$H$4*(_xlfn.RANK.AVG(G26,$F$26:$J$26,0)+COUNTIF($F$26:$J$26,"x"))))</f>
        <v>35</v>
      </c>
      <c r="H27" s="41">
        <f t="shared" ref="H27:J27" si="12">IF(H7="Offeror Withdrew","",IF(OR(H26="x",H26=""),0,$D$26/$H$4*(_xlfn.RANK.AVG(H26,$F$26:$J$26,0)+COUNTIF($F$26:$J$26,"x"))))</f>
        <v>7</v>
      </c>
      <c r="I27" s="41">
        <f t="shared" si="12"/>
        <v>14</v>
      </c>
      <c r="J27" s="41">
        <f t="shared" si="12"/>
        <v>21</v>
      </c>
      <c r="L27" s="92">
        <f>IF(L7="Offeror Withdrew","",IF(OR(L26="x",L26=""),0,$D$26/$H$4*(_xlfn.RANK.AVG(L26,$L$26:$P$26,0)+COUNTIF($L$26:$P$26,"x"))))</f>
        <v>28</v>
      </c>
      <c r="M27" s="92">
        <f t="shared" ref="M27:P27" si="13">IF(M7="Offeror Withdrew","",IF(OR(M26="x",M26=""),0,$D$26/$H$4*(_xlfn.RANK.AVG(M26,$L$26:$P$26,0)+COUNTIF($L$26:$P$26,"x"))))</f>
        <v>35</v>
      </c>
      <c r="N27" s="92">
        <f t="shared" si="13"/>
        <v>7</v>
      </c>
      <c r="O27" s="92">
        <f t="shared" si="13"/>
        <v>14</v>
      </c>
      <c r="P27" s="92">
        <f t="shared" si="13"/>
        <v>21</v>
      </c>
    </row>
    <row r="28" spans="2:16" x14ac:dyDescent="0.35">
      <c r="B28" s="2" t="s">
        <v>26</v>
      </c>
      <c r="C28" s="5" t="s">
        <v>32</v>
      </c>
      <c r="D28" s="5">
        <v>20</v>
      </c>
      <c r="E28" s="36" t="s">
        <v>18</v>
      </c>
      <c r="F28" s="40">
        <f>IF(OR(F7="Offeror Withdrew",_xlfn.XLOOKUP(F7,'Ranking Summary'!$H$27:$H$31,'Ranking Summary'!$I$27:$I$31)=""),"",_xlfn.XLOOKUP(F7,'Ranking Summary'!$H$27:$H$31,'Ranking Summary'!$I$27:$I$31))</f>
        <v>1</v>
      </c>
      <c r="G28" s="40">
        <f>IF(OR(G7="Offeror Withdrew",_xlfn.XLOOKUP(G7,'Ranking Summary'!$H$27:$H$31,'Ranking Summary'!$I$27:$I$31)=""),"",_xlfn.XLOOKUP(G7,'Ranking Summary'!$H$27:$H$31,'Ranking Summary'!$I$27:$I$31))</f>
        <v>2</v>
      </c>
      <c r="H28" s="40">
        <f>IF(OR(H7="Offeror Withdrew",_xlfn.XLOOKUP(H7,'Ranking Summary'!$H$27:$H$31,'Ranking Summary'!$I$27:$I$31)=""),"",_xlfn.XLOOKUP(H7,'Ranking Summary'!$H$27:$H$31,'Ranking Summary'!$I$27:$I$31))</f>
        <v>4</v>
      </c>
      <c r="I28" s="40">
        <f>IF(OR(I7="Offeror Withdrew",_xlfn.XLOOKUP(I7,'Ranking Summary'!$H$27:$H$31,'Ranking Summary'!$I$27:$I$31)=""),"",_xlfn.XLOOKUP(I7,'Ranking Summary'!$H$27:$H$31,'Ranking Summary'!$I$27:$I$31))</f>
        <v>5</v>
      </c>
      <c r="J28" s="40">
        <f>IF(OR(J7="Offeror Withdrew",_xlfn.XLOOKUP(J7,'Ranking Summary'!$H$27:$H$31,'Ranking Summary'!$I$27:$I$31)=""),"",_xlfn.XLOOKUP(J7,'Ranking Summary'!$H$27:$H$31,'Ranking Summary'!$I$27:$I$31))</f>
        <v>2</v>
      </c>
      <c r="L28" s="91">
        <f>IF(OR(L7="Offeror Withdrew",_xlfn.XLOOKUP(L7,'Ranking Summary'!$H$27:$H$31,'Ranking Summary'!$I$27:$I$31)="",'Ranking Summary'!$C$3&lt;&gt;"Yes"),"",_xlfn.XLOOKUP(L7,'Ranking Summary'!$H$27:$H$31,'Ranking Summary'!$I$27:$I$31))</f>
        <v>1</v>
      </c>
      <c r="M28" s="91">
        <f>IF(OR(M7="Offeror Withdrew",_xlfn.XLOOKUP(M7,'Ranking Summary'!$H$27:$H$31,'Ranking Summary'!$I$27:$I$31)="",'Ranking Summary'!$C$3&lt;&gt;"Yes"),"",_xlfn.XLOOKUP(M7,'Ranking Summary'!$H$27:$H$31,'Ranking Summary'!$I$27:$I$31))</f>
        <v>2</v>
      </c>
      <c r="N28" s="91">
        <f>IF(OR(N7="Offeror Withdrew",_xlfn.XLOOKUP(N7,'Ranking Summary'!$H$27:$H$31,'Ranking Summary'!$I$27:$I$31)="",'Ranking Summary'!$C$3&lt;&gt;"Yes"),"",_xlfn.XLOOKUP(N7,'Ranking Summary'!$H$27:$H$31,'Ranking Summary'!$I$27:$I$31))</f>
        <v>4</v>
      </c>
      <c r="O28" s="91">
        <f>IF(OR(O7="Offeror Withdrew",_xlfn.XLOOKUP(O7,'Ranking Summary'!$H$27:$H$31,'Ranking Summary'!$I$27:$I$31)="",'Ranking Summary'!$C$3&lt;&gt;"Yes"),"",_xlfn.XLOOKUP(O7,'Ranking Summary'!$H$27:$H$31,'Ranking Summary'!$I$27:$I$31))</f>
        <v>5</v>
      </c>
      <c r="P28" s="91">
        <f>IF(OR(P7="Offeror Withdrew",_xlfn.XLOOKUP(P7,'Ranking Summary'!$H$27:$H$31,'Ranking Summary'!$I$27:$I$31)="",'Ranking Summary'!$C$3&lt;&gt;"Yes"),"",_xlfn.XLOOKUP(P7,'Ranking Summary'!$H$27:$H$31,'Ranking Summary'!$I$27:$I$31))</f>
        <v>2</v>
      </c>
    </row>
    <row r="29" spans="2:16" ht="15" thickBot="1" x14ac:dyDescent="0.4">
      <c r="B29" s="3"/>
      <c r="C29" s="4"/>
      <c r="D29" s="4"/>
      <c r="E29" s="37" t="s">
        <v>19</v>
      </c>
      <c r="F29" s="41">
        <f>IF(F7="Offeror Withdrew","",IF(OR(F28="x",F28=""),0,$D$28/$H$4*(_xlfn.RANK.AVG(F28,$F$28:$J$28,0)+COUNTIF($F$28:$J$28,"x"))))</f>
        <v>20</v>
      </c>
      <c r="G29" s="41">
        <f t="shared" ref="G29:J29" si="14">IF(G7="Offeror Withdrew","",IF(OR(G28="x",G28=""),0,$D$28/$H$4*(_xlfn.RANK.AVG(G28,$F$28:$J$28,0)+COUNTIF($F$28:$J$28,"x"))))</f>
        <v>14</v>
      </c>
      <c r="H29" s="41">
        <f t="shared" si="14"/>
        <v>8</v>
      </c>
      <c r="I29" s="41">
        <f t="shared" si="14"/>
        <v>4</v>
      </c>
      <c r="J29" s="41">
        <f t="shared" si="14"/>
        <v>14</v>
      </c>
      <c r="L29" s="92">
        <f>IF(L7="Offeror Withdrew","",IF(OR(L28="x",L28=""),0,$D$28/$H$4*(_xlfn.RANK.AVG(L28,$L$28:$P$28,0)+COUNTIF($L$28:$P$28,"x"))))</f>
        <v>20</v>
      </c>
      <c r="M29" s="92">
        <f t="shared" ref="M29:P29" si="15">IF(M7="Offeror Withdrew","",IF(OR(M28="x",M28=""),0,$D$28/$H$4*(_xlfn.RANK.AVG(M28,$L$28:$P$28,0)+COUNTIF($L$28:$P$28,"x"))))</f>
        <v>14</v>
      </c>
      <c r="N29" s="92">
        <f t="shared" si="15"/>
        <v>8</v>
      </c>
      <c r="O29" s="92">
        <f t="shared" si="15"/>
        <v>4</v>
      </c>
      <c r="P29" s="92">
        <f t="shared" si="15"/>
        <v>14</v>
      </c>
    </row>
    <row r="30" spans="2:16" x14ac:dyDescent="0.35">
      <c r="B30" s="2" t="s">
        <v>27</v>
      </c>
      <c r="C30" s="5" t="s">
        <v>33</v>
      </c>
      <c r="D30" s="5">
        <v>145</v>
      </c>
      <c r="E30" s="36" t="s">
        <v>18</v>
      </c>
      <c r="F30" s="40">
        <f>IF(OR(F7="Offeror Withdrew",_xlfn.XLOOKUP(F7,'Ranking Summary'!$K$27:$K$31,'Ranking Summary'!$L$27:$L$31)=""),"",_xlfn.XLOOKUP(F7,'Ranking Summary'!$K$27:$K$31,'Ranking Summary'!$L$27:$L$31))</f>
        <v>2</v>
      </c>
      <c r="G30" s="40">
        <f>IF(OR(G7="Offeror Withdrew",_xlfn.XLOOKUP(G7,'Ranking Summary'!$K$27:$K$31,'Ranking Summary'!$L$27:$L$31)=""),"",_xlfn.XLOOKUP(G7,'Ranking Summary'!$K$27:$K$31,'Ranking Summary'!$L$27:$L$31))</f>
        <v>4</v>
      </c>
      <c r="H30" s="40">
        <f>IF(OR(H7="Offeror Withdrew",_xlfn.XLOOKUP(H7,'Ranking Summary'!$K$27:$K$31,'Ranking Summary'!$L$27:$L$31)=""),"",_xlfn.XLOOKUP(H7,'Ranking Summary'!$K$27:$K$31,'Ranking Summary'!$L$27:$L$31))</f>
        <v>1</v>
      </c>
      <c r="I30" s="40">
        <f>IF(OR(I7="Offeror Withdrew",_xlfn.XLOOKUP(I7,'Ranking Summary'!$K$27:$K$31,'Ranking Summary'!$L$27:$L$31)=""),"",_xlfn.XLOOKUP(I7,'Ranking Summary'!$K$27:$K$31,'Ranking Summary'!$L$27:$L$31))</f>
        <v>3</v>
      </c>
      <c r="J30" s="40">
        <f>IF(OR(J7="Offeror Withdrew",_xlfn.XLOOKUP(J7,'Ranking Summary'!$K$27:$K$31,'Ranking Summary'!$L$27:$L$31)=""),"",_xlfn.XLOOKUP(J7,'Ranking Summary'!$K$27:$K$31,'Ranking Summary'!$L$27:$L$31))</f>
        <v>5</v>
      </c>
      <c r="L30" s="91">
        <f>IF(OR(L7="Offeror Withdrew",_xlfn.XLOOKUP(L7,'Ranking Summary'!$K$27:$K$31,'Ranking Summary'!$L$27:$L$31)="",'Ranking Summary'!$C$3&lt;&gt;"Yes"),"",_xlfn.XLOOKUP(L7,'Ranking Summary'!$K$27:$K$31,'Ranking Summary'!$L$27:$L$31))</f>
        <v>2</v>
      </c>
      <c r="M30" s="91">
        <f>IF(OR(M7="Offeror Withdrew",_xlfn.XLOOKUP(M7,'Ranking Summary'!$K$27:$K$31,'Ranking Summary'!$L$27:$L$31)="",'Ranking Summary'!$C$3&lt;&gt;"Yes"),"",_xlfn.XLOOKUP(M7,'Ranking Summary'!$K$27:$K$31,'Ranking Summary'!$L$27:$L$31))</f>
        <v>4</v>
      </c>
      <c r="N30" s="91">
        <f>IF(OR(N7="Offeror Withdrew",_xlfn.XLOOKUP(N7,'Ranking Summary'!$K$27:$K$31,'Ranking Summary'!$L$27:$L$31)="",'Ranking Summary'!$C$3&lt;&gt;"Yes"),"",_xlfn.XLOOKUP(N7,'Ranking Summary'!$K$27:$K$31,'Ranking Summary'!$L$27:$L$31))</f>
        <v>1</v>
      </c>
      <c r="O30" s="91">
        <f>IF(OR(O7="Offeror Withdrew",_xlfn.XLOOKUP(O7,'Ranking Summary'!$K$27:$K$31,'Ranking Summary'!$L$27:$L$31)="",'Ranking Summary'!$C$3&lt;&gt;"Yes"),"",_xlfn.XLOOKUP(O7,'Ranking Summary'!$K$27:$K$31,'Ranking Summary'!$L$27:$L$31))</f>
        <v>3</v>
      </c>
      <c r="P30" s="91">
        <f>IF(OR(P7="Offeror Withdrew",_xlfn.XLOOKUP(P7,'Ranking Summary'!$K$27:$K$31,'Ranking Summary'!$L$27:$L$31)="",'Ranking Summary'!$C$3&lt;&gt;"Yes"),"",_xlfn.XLOOKUP(P7,'Ranking Summary'!$K$27:$K$31,'Ranking Summary'!$L$27:$L$31))</f>
        <v>5</v>
      </c>
    </row>
    <row r="31" spans="2:16" ht="15" thickBot="1" x14ac:dyDescent="0.4">
      <c r="B31" s="3"/>
      <c r="C31" s="4"/>
      <c r="D31" s="4"/>
      <c r="E31" s="37" t="s">
        <v>19</v>
      </c>
      <c r="F31" s="41">
        <f>IF(F7="Offeror Withdrew","",IF(OR(F30="x",F30=""),0,$D$30/$H$4*(_xlfn.RANK.AVG(F30,$F$30:$J$30,0)+COUNTIF($F$30:$J$30,"x"))))</f>
        <v>116</v>
      </c>
      <c r="G31" s="41">
        <f t="shared" ref="G31:J31" si="16">IF(G7="Offeror Withdrew","",IF(OR(G30="x",G30=""),0,$D$30/$H$4*(_xlfn.RANK.AVG(G30,$F$30:$J$30,0)+COUNTIF($F$30:$J$30,"x"))))</f>
        <v>58</v>
      </c>
      <c r="H31" s="41">
        <f t="shared" si="16"/>
        <v>145</v>
      </c>
      <c r="I31" s="41">
        <f t="shared" si="16"/>
        <v>87</v>
      </c>
      <c r="J31" s="41">
        <f t="shared" si="16"/>
        <v>29</v>
      </c>
      <c r="L31" s="92">
        <f>IF(L7="Offeror Withdrew","",IF(OR(L30="x",L30=""),0,$D$30/$H$4*(_xlfn.RANK.AVG(L30,$L$30:$P$30,0)+COUNTIF($L$30:$P$30,"x"))))</f>
        <v>116</v>
      </c>
      <c r="M31" s="92">
        <f t="shared" ref="M31:P31" si="17">IF(M7="Offeror Withdrew","",IF(OR(M30="x",M30=""),0,$D$30/$H$4*(_xlfn.RANK.AVG(M30,$L$30:$P$30,0)+COUNTIF($L$30:$P$30,"x"))))</f>
        <v>58</v>
      </c>
      <c r="N31" s="92">
        <f t="shared" si="17"/>
        <v>145</v>
      </c>
      <c r="O31" s="92">
        <f t="shared" si="17"/>
        <v>87</v>
      </c>
      <c r="P31" s="92">
        <f t="shared" si="17"/>
        <v>29</v>
      </c>
    </row>
    <row r="32" spans="2:16" x14ac:dyDescent="0.35">
      <c r="B32" s="2" t="s">
        <v>28</v>
      </c>
      <c r="C32" s="5" t="s">
        <v>34</v>
      </c>
      <c r="D32" s="5">
        <v>145</v>
      </c>
      <c r="E32" s="36" t="s">
        <v>18</v>
      </c>
      <c r="F32" s="40">
        <f>IF(OR(F7="Offeror Withdrew",_xlfn.XLOOKUP(F7,'Ranking Summary'!$B$35:$B$39,'Ranking Summary'!$C$35:$C$39)=""),"",_xlfn.XLOOKUP(F7,'Ranking Summary'!$B$35:$B$39,'Ranking Summary'!$C$35:$C$39))</f>
        <v>3</v>
      </c>
      <c r="G32" s="40">
        <f>IF(OR(G7="Offeror Withdrew",_xlfn.XLOOKUP(G7,'Ranking Summary'!$B$35:$B$39,'Ranking Summary'!$C$35:$C$39)=""),"",_xlfn.XLOOKUP(G7,'Ranking Summary'!$B$35:$B$39,'Ranking Summary'!$C$35:$C$39))</f>
        <v>4</v>
      </c>
      <c r="H32" s="40">
        <f>IF(OR(H7="Offeror Withdrew",_xlfn.XLOOKUP(H7,'Ranking Summary'!$B$35:$B$39,'Ranking Summary'!$C$35:$C$39)=""),"",_xlfn.XLOOKUP(H7,'Ranking Summary'!$B$35:$B$39,'Ranking Summary'!$C$35:$C$39))</f>
        <v>2</v>
      </c>
      <c r="I32" s="40">
        <f>IF(OR(I7="Offeror Withdrew",_xlfn.XLOOKUP(I7,'Ranking Summary'!$B$35:$B$39,'Ranking Summary'!$C$35:$C$39)=""),"",_xlfn.XLOOKUP(I7,'Ranking Summary'!$B$35:$B$39,'Ranking Summary'!$C$35:$C$39))</f>
        <v>1</v>
      </c>
      <c r="J32" s="40">
        <f>IF(OR(J7="Offeror Withdrew",_xlfn.XLOOKUP(J7,'Ranking Summary'!$B$35:$B$39,'Ranking Summary'!$C$35:$C$39)=""),"",_xlfn.XLOOKUP(J7,'Ranking Summary'!$B$35:$B$39,'Ranking Summary'!$C$35:$C$39))</f>
        <v>4</v>
      </c>
      <c r="L32" s="91">
        <f>IF(OR(L7="Offeror Withdrew",_xlfn.XLOOKUP(L7,'Ranking Summary'!$B$35:$B$39,'Ranking Summary'!$C$35:$C$39)="",'Ranking Summary'!$C$3&lt;&gt;"Yes"),"",_xlfn.XLOOKUP(L7,'Ranking Summary'!$B$35:$B$39,'Ranking Summary'!$C$35:$C$39))</f>
        <v>3</v>
      </c>
      <c r="M32" s="91">
        <f>IF(OR(M7="Offeror Withdrew",_xlfn.XLOOKUP(M7,'Ranking Summary'!$B$35:$B$39,'Ranking Summary'!$C$35:$C$39)="",'Ranking Summary'!$C$3&lt;&gt;"Yes"),"",_xlfn.XLOOKUP(M7,'Ranking Summary'!$B$35:$B$39,'Ranking Summary'!$C$35:$C$39))</f>
        <v>4</v>
      </c>
      <c r="N32" s="91">
        <f>IF(OR(N7="Offeror Withdrew",_xlfn.XLOOKUP(N7,'Ranking Summary'!$B$35:$B$39,'Ranking Summary'!$C$35:$C$39)="",'Ranking Summary'!$C$3&lt;&gt;"Yes"),"",_xlfn.XLOOKUP(N7,'Ranking Summary'!$B$35:$B$39,'Ranking Summary'!$C$35:$C$39))</f>
        <v>2</v>
      </c>
      <c r="O32" s="91">
        <f>IF(OR(O7="Offeror Withdrew",_xlfn.XLOOKUP(O7,'Ranking Summary'!$B$35:$B$39,'Ranking Summary'!$C$35:$C$39)="",'Ranking Summary'!$C$3&lt;&gt;"Yes"),"",_xlfn.XLOOKUP(O7,'Ranking Summary'!$B$35:$B$39,'Ranking Summary'!$C$35:$C$39))</f>
        <v>1</v>
      </c>
      <c r="P32" s="91">
        <f>IF(OR(P7="Offeror Withdrew",_xlfn.XLOOKUP(P7,'Ranking Summary'!$B$35:$B$39,'Ranking Summary'!$C$35:$C$39)="",'Ranking Summary'!$C$3&lt;&gt;"Yes"),"",_xlfn.XLOOKUP(P7,'Ranking Summary'!$B$35:$B$39,'Ranking Summary'!$C$35:$C$39))</f>
        <v>4</v>
      </c>
    </row>
    <row r="33" spans="2:16" ht="15" thickBot="1" x14ac:dyDescent="0.4">
      <c r="B33" s="3"/>
      <c r="C33" s="4"/>
      <c r="D33" s="4"/>
      <c r="E33" s="37" t="s">
        <v>19</v>
      </c>
      <c r="F33" s="41">
        <f>IF(F7="Offeror Withdrew","",IF(OR(F32="x",F32=""),0,$D$32/$H$4*(_xlfn.RANK.AVG(F32,$F$32:$J$32,0)+COUNTIF($F$32:$J$32,"x"))))</f>
        <v>87</v>
      </c>
      <c r="G33" s="41">
        <f t="shared" ref="G33:J33" si="18">IF(G7="Offeror Withdrew","",IF(OR(G32="x",G32=""),0,$D$32/$H$4*(_xlfn.RANK.AVG(G32,$F$32:$J$32,0)+COUNTIF($F$32:$J$32,"x"))))</f>
        <v>43.5</v>
      </c>
      <c r="H33" s="41">
        <f t="shared" si="18"/>
        <v>116</v>
      </c>
      <c r="I33" s="41">
        <f t="shared" si="18"/>
        <v>145</v>
      </c>
      <c r="J33" s="41">
        <f t="shared" si="18"/>
        <v>43.5</v>
      </c>
      <c r="L33" s="92">
        <f>IF(L7="Offeror Withdrew","",IF(OR(L32="x",L32=""),0,$D$32/$H$4*(_xlfn.RANK.AVG(L32,$L$32:$P$32,0)+COUNTIF($L$32:$P$32,"x"))))</f>
        <v>87</v>
      </c>
      <c r="M33" s="92">
        <f t="shared" ref="M33:O33" si="19">IF(M7="Offeror Withdrew","",IF(OR(M32="x",M32=""),0,$D$32/$H$4*(_xlfn.RANK.AVG(M32,$L$32:$P$32,0)+COUNTIF($L$32:$P$32,"x"))))</f>
        <v>43.5</v>
      </c>
      <c r="N33" s="92">
        <f t="shared" si="19"/>
        <v>116</v>
      </c>
      <c r="O33" s="92">
        <f t="shared" si="19"/>
        <v>145</v>
      </c>
      <c r="P33" s="92">
        <f>IF(P7="Offeror Withdrew","",IF(OR(P32="x",P32=""),0,$D$32/$H$4*(_xlfn.RANK.AVG(P32,$L$32:$P$32,0)+COUNTIF($L$32:$P$32,"x"))))</f>
        <v>43.5</v>
      </c>
    </row>
    <row r="34" spans="2:16" x14ac:dyDescent="0.35">
      <c r="B34" s="2" t="s">
        <v>77</v>
      </c>
      <c r="C34" s="5" t="s">
        <v>46</v>
      </c>
      <c r="D34" s="5">
        <v>100</v>
      </c>
      <c r="E34" s="36" t="s">
        <v>18</v>
      </c>
      <c r="F34" s="40" t="str">
        <f>IF(OR(F7="Offeror Withdrew",_xlfn.XLOOKUP(F7,'Ranking Summary'!$E$35:$E$39,'Ranking Summary'!$F$35:$F$39)=""),"",_xlfn.XLOOKUP(F7,'Ranking Summary'!$E$35:$E$39,'Ranking Summary'!$F$35:$F$39))</f>
        <v/>
      </c>
      <c r="G34" s="40" t="str">
        <f>IF(OR(G7="Offeror Withdrew",_xlfn.XLOOKUP(G7,'Ranking Summary'!$E$35:$E$39,'Ranking Summary'!$F$35:$F$39)=""),"",_xlfn.XLOOKUP(G7,'Ranking Summary'!$E$35:$E$39,'Ranking Summary'!$F$35:$F$39))</f>
        <v/>
      </c>
      <c r="H34" s="40" t="str">
        <f>IF(OR(H7="Offeror Withdrew",_xlfn.XLOOKUP(H7,'Ranking Summary'!$E$35:$E$39,'Ranking Summary'!$F$35:$F$39)=""),"",_xlfn.XLOOKUP(H7,'Ranking Summary'!$E$35:$E$39,'Ranking Summary'!$F$35:$F$39))</f>
        <v/>
      </c>
      <c r="I34" s="40" t="str">
        <f>IF(OR(I7="Offeror Withdrew",_xlfn.XLOOKUP(I7,'Ranking Summary'!$E$35:$E$39,'Ranking Summary'!$F$35:$F$39)=""),"",_xlfn.XLOOKUP(I7,'Ranking Summary'!$E$35:$E$39,'Ranking Summary'!$F$35:$F$39))</f>
        <v/>
      </c>
      <c r="J34" s="40" t="str">
        <f>IF(OR(J7="Offeror Withdrew",_xlfn.XLOOKUP(J7,'Ranking Summary'!$E$35:$E$39,'Ranking Summary'!$F$35:$F$39)=""),"",_xlfn.XLOOKUP(J7,'Ranking Summary'!$E$35:$E$39,'Ranking Summary'!$F$35:$F$39))</f>
        <v/>
      </c>
      <c r="L34" s="91">
        <f>IF(OR(L7="Offeror Withdrew",_xlfn.XLOOKUP(L7,'Ranking Summary'!$H$35:$H$39,'Ranking Summary'!$I$35:$I$39)="",'Ranking Summary'!$C$3&lt;&gt;"Yes"),"",_xlfn.XLOOKUP(L7,'Ranking Summary'!$H$35:$H$39,'Ranking Summary'!$I$35:$I$39))</f>
        <v>4</v>
      </c>
      <c r="M34" s="91">
        <f>IF(OR(M7="Offeror Withdrew",_xlfn.XLOOKUP(M7,'Ranking Summary'!$H$35:$H$39,'Ranking Summary'!$I$35:$I$39)="",'Ranking Summary'!$C$3&lt;&gt;"Yes"),"",_xlfn.XLOOKUP(M7,'Ranking Summary'!$H$35:$H$39,'Ranking Summary'!$I$35:$I$39))</f>
        <v>4</v>
      </c>
      <c r="N34" s="91">
        <f>IF(OR(N7="Offeror Withdrew",_xlfn.XLOOKUP(N7,'Ranking Summary'!$H$35:$H$39,'Ranking Summary'!$I$35:$I$39)="",'Ranking Summary'!$C$3&lt;&gt;"Yes"),"",_xlfn.XLOOKUP(N7,'Ranking Summary'!$H$35:$H$39,'Ranking Summary'!$I$35:$I$39))</f>
        <v>3</v>
      </c>
      <c r="O34" s="91">
        <f>IF(OR(O7="Offeror Withdrew",_xlfn.XLOOKUP(O7,'Ranking Summary'!$H$35:$H$39,'Ranking Summary'!$I$35:$I$39)="",'Ranking Summary'!$C$3&lt;&gt;"Yes"),"",_xlfn.XLOOKUP(O7,'Ranking Summary'!$H$35:$H$39,'Ranking Summary'!$I$35:$I$39))</f>
        <v>1</v>
      </c>
      <c r="P34" s="91">
        <f>IF(OR(P7="Offeror Withdrew",_xlfn.XLOOKUP(P7,'Ranking Summary'!$H$35:$H$39,'Ranking Summary'!$I$35:$I$39)="",'Ranking Summary'!$C$3&lt;&gt;"Yes"),"",_xlfn.XLOOKUP(P7,'Ranking Summary'!$H$35:$H$39,'Ranking Summary'!$I$35:$I$39))</f>
        <v>2</v>
      </c>
    </row>
    <row r="35" spans="2:16" ht="15" thickBot="1" x14ac:dyDescent="0.4">
      <c r="B35" s="3"/>
      <c r="C35" s="4"/>
      <c r="D35" s="4"/>
      <c r="E35" s="37" t="s">
        <v>19</v>
      </c>
      <c r="F35" s="41">
        <f>IF(F7="Offeror Withdrew","",IF(OR(F34="x",F34=""),0,$D$34/$H$4*(_xlfn.RANK.AVG(F34,$F$34:$J$34,0)+COUNTIF($F$34:$J$34,"x"))))</f>
        <v>0</v>
      </c>
      <c r="G35" s="41">
        <f t="shared" ref="G35:J35" si="20">IF(G7="Offeror Withdrew","",IF(OR(G34="x",G34=""),0,$D$34/$H$4*(_xlfn.RANK.AVG(G34,$F$34:$J$34,0)+COUNTIF($F$34:$J$34,"x"))))</f>
        <v>0</v>
      </c>
      <c r="H35" s="41">
        <f t="shared" si="20"/>
        <v>0</v>
      </c>
      <c r="I35" s="41">
        <f t="shared" si="20"/>
        <v>0</v>
      </c>
      <c r="J35" s="41">
        <f t="shared" si="20"/>
        <v>0</v>
      </c>
      <c r="L35" s="92">
        <f>IF(L7="Offeror Withdrew","",IF(OR(L34="x",L34=""),0,$D$34/$H$4*(_xlfn.RANK.AVG(L34,$L$34:$P$34,0)+COUNTIF($L$34:$P$34,"x"))))</f>
        <v>30</v>
      </c>
      <c r="M35" s="92">
        <f t="shared" ref="M35:P35" si="21">IF(M7="Offeror Withdrew","",IF(OR(M34="x",M34=""),0,$D$34/$H$4*(_xlfn.RANK.AVG(M34,$L$34:$P$34,0)+COUNTIF($L$34:$P$34,"x"))))</f>
        <v>30</v>
      </c>
      <c r="N35" s="92">
        <f t="shared" si="21"/>
        <v>60</v>
      </c>
      <c r="O35" s="92">
        <f t="shared" si="21"/>
        <v>100</v>
      </c>
      <c r="P35" s="92">
        <f t="shared" si="21"/>
        <v>80</v>
      </c>
    </row>
    <row r="36" spans="2:16" ht="15" thickBot="1" x14ac:dyDescent="0.4">
      <c r="B36" s="54"/>
      <c r="C36" s="55" t="s">
        <v>6</v>
      </c>
      <c r="D36" s="56">
        <f>SUM(D14:D35)</f>
        <v>1000</v>
      </c>
      <c r="E36" s="58"/>
      <c r="F36" s="57">
        <f>IF(F7="Offeror Withdrew",0,F15+F17+F19+F21+F25+F23+F27+F29+F31+F33+F35)</f>
        <v>638</v>
      </c>
      <c r="G36" s="57">
        <f t="shared" ref="G36:J36" si="22">IF(G7="Offeror Withdrew",0,G15+G17+G19+G21+G25+G23+G27+G29+G31+G33+G35)</f>
        <v>492.5</v>
      </c>
      <c r="H36" s="57">
        <f t="shared" si="22"/>
        <v>477</v>
      </c>
      <c r="I36" s="57">
        <f t="shared" si="22"/>
        <v>615</v>
      </c>
      <c r="J36" s="57">
        <f t="shared" si="22"/>
        <v>477.5</v>
      </c>
      <c r="L36" s="93">
        <f>IF(L7="Offeror Withdrew",0,L15+L17+L19+L21+L25+L23+L27+L29+L31+L33+L35)</f>
        <v>668</v>
      </c>
      <c r="M36" s="93">
        <f t="shared" ref="M36:P36" si="23">IF(M7="Offeror Withdrew",0,M15+M17+M19+M21+M25+M23+M27+M29+M31+M33+M35)</f>
        <v>522.5</v>
      </c>
      <c r="N36" s="93">
        <f t="shared" si="23"/>
        <v>537</v>
      </c>
      <c r="O36" s="93">
        <f t="shared" si="23"/>
        <v>715</v>
      </c>
      <c r="P36" s="93">
        <f t="shared" si="23"/>
        <v>557.5</v>
      </c>
    </row>
    <row r="37" spans="2:16" x14ac:dyDescent="0.35">
      <c r="J37" s="38"/>
    </row>
  </sheetData>
  <sheetProtection algorithmName="SHA-512" hashValue="10VVfcAyUKg0mlky3qEH2V/xBsaF1NinKm/446QNHokxYbdkmStPXynMvC6VY9mHFeu89HNVbihQSvBgC5dp5w==" saltValue="Jl4ZE31jWprHMVYUsR8RCw==" spinCount="100000" sheet="1" objects="1" scenarios="1"/>
  <mergeCells count="5">
    <mergeCell ref="B1:P1"/>
    <mergeCell ref="B2:P2"/>
    <mergeCell ref="F6:J6"/>
    <mergeCell ref="L6:P6"/>
    <mergeCell ref="E4:G4"/>
  </mergeCells>
  <conditionalFormatting sqref="F7:F36">
    <cfRule type="expression" dxfId="19" priority="11">
      <formula>$F$7="Offeror Withdrew"</formula>
    </cfRule>
  </conditionalFormatting>
  <conditionalFormatting sqref="G7:G36">
    <cfRule type="expression" dxfId="17" priority="10">
      <formula>$G$7="Offeror Withdrew"</formula>
    </cfRule>
  </conditionalFormatting>
  <conditionalFormatting sqref="H7:H36">
    <cfRule type="expression" dxfId="16" priority="9">
      <formula>$H$7="Offeror Withdrew"</formula>
    </cfRule>
  </conditionalFormatting>
  <conditionalFormatting sqref="I7:I36">
    <cfRule type="expression" dxfId="15" priority="8">
      <formula>$I$7="Offeror Withdrew"</formula>
    </cfRule>
  </conditionalFormatting>
  <conditionalFormatting sqref="J7:J36">
    <cfRule type="expression" dxfId="14" priority="7">
      <formula>$J$7="Offeror Withdrew"</formula>
    </cfRule>
  </conditionalFormatting>
  <conditionalFormatting sqref="L7:L36">
    <cfRule type="expression" dxfId="13" priority="6">
      <formula>$L$7="Offeror Withdrew"</formula>
    </cfRule>
  </conditionalFormatting>
  <conditionalFormatting sqref="M7:M36">
    <cfRule type="expression" dxfId="9" priority="5">
      <formula>$M$7="Offeror Withdrew"</formula>
    </cfRule>
  </conditionalFormatting>
  <conditionalFormatting sqref="N7:N36">
    <cfRule type="expression" dxfId="8" priority="4">
      <formula>$N$7="Offeror Withdrew"</formula>
    </cfRule>
  </conditionalFormatting>
  <conditionalFormatting sqref="O7:O36">
    <cfRule type="expression" dxfId="7" priority="2">
      <formula>$O$7="Offeror Withdrew"</formula>
    </cfRule>
  </conditionalFormatting>
  <conditionalFormatting sqref="P7:P36">
    <cfRule type="expression" dxfId="6" priority="1">
      <formula>$P$7="Offeror Withdrew"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AA8BC50-8A10-4566-BF0B-74636C693445}">
            <xm:f>'Ranking Summary'!$C$3="Yes"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F7:J36</xm:sqref>
        </x14:conditionalFormatting>
        <x14:conditionalFormatting xmlns:xm="http://schemas.microsoft.com/office/excel/2006/main">
          <x14:cfRule type="expression" priority="12" id="{B901BAC9-D934-4626-AB41-5CDE23553F60}">
            <xm:f>'Ranking Summary'!$C$3="Yes"</xm:f>
            <x14:dxf>
              <font>
                <color theme="0"/>
              </font>
              <fill>
                <patternFill>
                  <bgColor rgb="FF318DCC"/>
                </patternFill>
              </fill>
            </x14:dxf>
          </x14:cfRule>
          <xm:sqref>L7:P7</xm:sqref>
        </x14:conditionalFormatting>
        <x14:conditionalFormatting xmlns:xm="http://schemas.microsoft.com/office/excel/2006/main">
          <x14:cfRule type="expression" priority="15" id="{B8BBD9D2-E244-4FA6-A830-122C7415473D}">
            <xm:f>'Ranking Summary'!$C$3="Yes"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L14:P35</xm:sqref>
        </x14:conditionalFormatting>
        <x14:conditionalFormatting xmlns:xm="http://schemas.microsoft.com/office/excel/2006/main">
          <x14:cfRule type="expression" priority="14" id="{9FEFEE57-A16A-46EE-BE40-9BD7A1C4BE4A}">
            <xm:f>'Ranking Summary'!$C$3="Yes"</xm:f>
            <x14:dxf>
              <font>
                <color theme="0"/>
              </font>
              <fill>
                <patternFill>
                  <bgColor rgb="FF712339"/>
                </patternFill>
              </fill>
            </x14:dxf>
          </x14:cfRule>
          <xm:sqref>L36:P36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B6F4-7FCE-4814-82CF-577B2711C5CE}">
  <dimension ref="B1:N19"/>
  <sheetViews>
    <sheetView showGridLines="0" topLeftCell="A3" zoomScaleNormal="100" workbookViewId="0">
      <selection activeCell="I14" sqref="I14"/>
    </sheetView>
  </sheetViews>
  <sheetFormatPr defaultRowHeight="14.5" x14ac:dyDescent="0.35"/>
  <cols>
    <col min="2" max="2" width="10.1796875" bestFit="1" customWidth="1"/>
    <col min="3" max="3" width="42.453125" bestFit="1" customWidth="1"/>
    <col min="4" max="7" width="17.7265625" hidden="1" customWidth="1"/>
    <col min="8" max="8" width="19.54296875" hidden="1" customWidth="1"/>
    <col min="9" max="9" width="5.26953125" hidden="1" customWidth="1"/>
    <col min="10" max="13" width="17.7265625" customWidth="1"/>
    <col min="14" max="14" width="19.1796875" customWidth="1"/>
  </cols>
  <sheetData>
    <row r="1" spans="2:14" ht="26" x14ac:dyDescent="0.6">
      <c r="B1" s="163" t="s">
        <v>44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2:14" ht="26" x14ac:dyDescent="0.6">
      <c r="B2" s="39"/>
      <c r="C2" s="39"/>
    </row>
    <row r="3" spans="2:14" ht="19" thickBot="1" x14ac:dyDescent="0.5">
      <c r="D3" s="177" t="s">
        <v>48</v>
      </c>
      <c r="E3" s="177"/>
      <c r="F3" s="177"/>
      <c r="G3" s="177"/>
      <c r="H3" s="177"/>
      <c r="J3" s="177" t="s">
        <v>45</v>
      </c>
      <c r="K3" s="177"/>
      <c r="L3" s="177"/>
      <c r="M3" s="177"/>
      <c r="N3" s="177"/>
    </row>
    <row r="4" spans="2:14" ht="75.75" customHeight="1" thickBot="1" x14ac:dyDescent="0.4">
      <c r="B4" s="6" t="s">
        <v>42</v>
      </c>
      <c r="C4" s="7" t="s">
        <v>43</v>
      </c>
      <c r="D4" s="42" t="str">
        <f>'Scores Statewide'!F7</f>
        <v>ARIZONA PHYSICIANS IPA, INC.</v>
      </c>
      <c r="E4" s="94" t="str">
        <f>'Scores Statewide'!G7</f>
        <v>BANNER-UNIVERSITY CARE ADVANTAGE</v>
      </c>
      <c r="F4" s="42" t="str">
        <f>'Scores Statewide'!H7</f>
        <v>BCBSAZ HEALTH CHOICE</v>
      </c>
      <c r="G4" s="94" t="str">
        <f>'Scores Statewide'!I7</f>
        <v>HEALTH NET ACCESS</v>
      </c>
      <c r="H4" s="42" t="str">
        <f>'Scores Statewide'!J7</f>
        <v>MERCY CARE</v>
      </c>
      <c r="J4" s="88" t="str">
        <f>'Scores Statewide'!L7</f>
        <v>ARIZONA PHYSICIANS IPA, INC.</v>
      </c>
      <c r="K4" s="88" t="str">
        <f>'Scores Statewide'!M7</f>
        <v>BANNER-UNIVERSITY CARE ADVANTAGE</v>
      </c>
      <c r="L4" s="88" t="str">
        <f>'Scores Statewide'!N7</f>
        <v>BCBSAZ HEALTH CHOICE</v>
      </c>
      <c r="M4" s="88" t="str">
        <f>'Scores Statewide'!O7</f>
        <v>HEALTH NET ACCESS</v>
      </c>
      <c r="N4" s="88" t="str">
        <f>'Scores Statewide'!P7</f>
        <v>MERCY CARE</v>
      </c>
    </row>
    <row r="5" spans="2:14" x14ac:dyDescent="0.35">
      <c r="B5" s="96" t="s">
        <v>56</v>
      </c>
      <c r="C5" s="97" t="s">
        <v>63</v>
      </c>
      <c r="D5" s="98"/>
      <c r="E5" s="99"/>
      <c r="F5" s="98"/>
      <c r="G5" s="99"/>
      <c r="H5" s="98"/>
      <c r="J5" s="98"/>
      <c r="K5" s="99"/>
      <c r="L5" s="98"/>
      <c r="M5" s="99"/>
      <c r="N5" s="98"/>
    </row>
    <row r="6" spans="2:14" x14ac:dyDescent="0.35">
      <c r="B6" s="100" t="s">
        <v>57</v>
      </c>
      <c r="C6" s="101" t="s">
        <v>64</v>
      </c>
      <c r="D6" s="98"/>
      <c r="E6" s="99"/>
      <c r="F6" s="98"/>
      <c r="G6" s="99"/>
      <c r="H6" s="98"/>
      <c r="J6" s="98"/>
      <c r="K6" s="99"/>
      <c r="L6" s="98"/>
      <c r="M6" s="99"/>
      <c r="N6" s="98"/>
    </row>
    <row r="7" spans="2:14" x14ac:dyDescent="0.35">
      <c r="B7" s="100" t="s">
        <v>58</v>
      </c>
      <c r="C7" s="101" t="s">
        <v>65</v>
      </c>
      <c r="D7" s="98"/>
      <c r="E7" s="99"/>
      <c r="F7" s="98"/>
      <c r="G7" s="99"/>
      <c r="H7" s="98"/>
      <c r="J7" s="98"/>
      <c r="K7" s="99"/>
      <c r="L7" s="98"/>
      <c r="M7" s="99"/>
      <c r="N7" s="98"/>
    </row>
    <row r="8" spans="2:14" x14ac:dyDescent="0.35">
      <c r="B8" s="50" t="s">
        <v>17</v>
      </c>
      <c r="C8" s="51" t="s">
        <v>59</v>
      </c>
      <c r="D8" s="53">
        <f>IF(D4="Offeror Withdrew","",_xlfn.XLOOKUP(D4,'Ranking Summary'!$K$11:$K$15,'Ranking Summary'!$L$11:$L$15))</f>
        <v>3</v>
      </c>
      <c r="E8" s="51">
        <f>IF(E4="Offeror Withdrew","",_xlfn.XLOOKUP(E4,'Ranking Summary'!$K$11:$K$15,'Ranking Summary'!$L$11:$L$15))</f>
        <v>5</v>
      </c>
      <c r="F8" s="53">
        <f>IF(F4="Offeror Withdrew","",_xlfn.XLOOKUP(F4,'Ranking Summary'!$K$11:$K$15,'Ranking Summary'!$L$11:$L$15))</f>
        <v>4</v>
      </c>
      <c r="G8" s="51">
        <f>IF(G4="Offeror Withdrew","",_xlfn.XLOOKUP(G4,'Ranking Summary'!$K$11:$K$15,'Ranking Summary'!$L$11:$L$15))</f>
        <v>2</v>
      </c>
      <c r="H8" s="53">
        <f>IF(H4="Offeror Withdrew","",_xlfn.XLOOKUP(H4,'Ranking Summary'!$K$11:$K$15,'Ranking Summary'!$L$11:$L$15))</f>
        <v>1</v>
      </c>
      <c r="J8" s="102">
        <f>IF('Ranking Summary'!$C$3&lt;&gt;"Yes","",D8)</f>
        <v>3</v>
      </c>
      <c r="K8" s="102">
        <f>IF('Ranking Summary'!$C$3&lt;&gt;"Yes","",E8)</f>
        <v>5</v>
      </c>
      <c r="L8" s="102">
        <f>IF('Ranking Summary'!$C$3&lt;&gt;"Yes","",F8)</f>
        <v>4</v>
      </c>
      <c r="M8" s="102">
        <f>IF('Ranking Summary'!$C$3&lt;&gt;"Yes","",G8)</f>
        <v>2</v>
      </c>
      <c r="N8" s="102">
        <f>IF('Ranking Summary'!$C$3&lt;&gt;"Yes","",H8)</f>
        <v>1</v>
      </c>
    </row>
    <row r="9" spans="2:14" x14ac:dyDescent="0.35">
      <c r="B9" s="52" t="s">
        <v>20</v>
      </c>
      <c r="C9" s="47" t="s">
        <v>60</v>
      </c>
      <c r="D9" s="48">
        <f>IF(D4="Offeror Withdrew","",_xlfn.XLOOKUP(D4,'Ranking Summary'!$B$19:$B$23,'Ranking Summary'!$C$19:$C$23))</f>
        <v>2</v>
      </c>
      <c r="E9" s="47">
        <f>IF(E4="Offeror Withdrew","",_xlfn.XLOOKUP(E4,'Ranking Summary'!$B$19:$B$23,'Ranking Summary'!$C$19:$C$23))</f>
        <v>1</v>
      </c>
      <c r="F9" s="48">
        <f>IF(F4="Offeror Withdrew","",_xlfn.XLOOKUP(F4,'Ranking Summary'!$B$19:$B$23,'Ranking Summary'!$C$19:$C$23))</f>
        <v>5</v>
      </c>
      <c r="G9" s="47">
        <f>IF(G4="Offeror Withdrew","",_xlfn.XLOOKUP(G4,'Ranking Summary'!$B$19:$B$23,'Ranking Summary'!$C$19:$C$23))</f>
        <v>3</v>
      </c>
      <c r="H9" s="48">
        <f>IF(H4="Offeror Withdrew","",_xlfn.XLOOKUP(H4,'Ranking Summary'!$B$19:$B$23,'Ranking Summary'!$C$19:$C$23))</f>
        <v>4</v>
      </c>
      <c r="J9" s="103">
        <f>IF('Ranking Summary'!$C$3&lt;&gt;"Yes","",D9)</f>
        <v>2</v>
      </c>
      <c r="K9" s="103">
        <f>IF('Ranking Summary'!$C$3&lt;&gt;"Yes","",E9)</f>
        <v>1</v>
      </c>
      <c r="L9" s="103">
        <f>IF('Ranking Summary'!$C$3&lt;&gt;"Yes","",F9)</f>
        <v>5</v>
      </c>
      <c r="M9" s="103">
        <f>IF('Ranking Summary'!$C$3&lt;&gt;"Yes","",G9)</f>
        <v>3</v>
      </c>
      <c r="N9" s="103">
        <f>IF('Ranking Summary'!$C$3&lt;&gt;"Yes","",H9)</f>
        <v>4</v>
      </c>
    </row>
    <row r="10" spans="2:14" x14ac:dyDescent="0.35">
      <c r="B10" s="52" t="s">
        <v>21</v>
      </c>
      <c r="C10" s="47" t="s">
        <v>29</v>
      </c>
      <c r="D10" s="48">
        <f>IF(D4="Offeror Withdrew","",_xlfn.XLOOKUP(D4,'Ranking Summary'!$E$19:$E$23,'Ranking Summary'!$F$19:$F$23))</f>
        <v>3</v>
      </c>
      <c r="E10" s="47">
        <f>IF(E4="Offeror Withdrew","",_xlfn.XLOOKUP(E4,'Ranking Summary'!$E$19:$E$23,'Ranking Summary'!$F$19:$F$23))</f>
        <v>3</v>
      </c>
      <c r="F10" s="48">
        <f>IF(F4="Offeror Withdrew","",_xlfn.XLOOKUP(F4,'Ranking Summary'!$E$19:$E$23,'Ranking Summary'!$F$19:$F$23))</f>
        <v>5</v>
      </c>
      <c r="G10" s="47">
        <f>IF(G4="Offeror Withdrew","",_xlfn.XLOOKUP(G4,'Ranking Summary'!$E$19:$E$23,'Ranking Summary'!$F$19:$F$23))</f>
        <v>1</v>
      </c>
      <c r="H10" s="48">
        <f>IF(H4="Offeror Withdrew","",_xlfn.XLOOKUP(H4,'Ranking Summary'!$E$19:$E$23,'Ranking Summary'!$F$19:$F$23))</f>
        <v>2</v>
      </c>
      <c r="J10" s="103">
        <f>IF('Ranking Summary'!$C$3&lt;&gt;"Yes","",D10)</f>
        <v>3</v>
      </c>
      <c r="K10" s="103">
        <f>IF('Ranking Summary'!$C$3&lt;&gt;"Yes","",E10)</f>
        <v>3</v>
      </c>
      <c r="L10" s="103">
        <f>IF('Ranking Summary'!$C$3&lt;&gt;"Yes","",F10)</f>
        <v>5</v>
      </c>
      <c r="M10" s="103">
        <f>IF('Ranking Summary'!$C$3&lt;&gt;"Yes","",G10)</f>
        <v>1</v>
      </c>
      <c r="N10" s="103">
        <f>IF('Ranking Summary'!$C$3&lt;&gt;"Yes","",H10)</f>
        <v>2</v>
      </c>
    </row>
    <row r="11" spans="2:14" x14ac:dyDescent="0.35">
      <c r="B11" s="52" t="s">
        <v>22</v>
      </c>
      <c r="C11" s="47" t="s">
        <v>61</v>
      </c>
      <c r="D11" s="48">
        <f>IF(D4="Offeror Withdrew","",_xlfn.XLOOKUP(D4,'Ranking Summary'!$H$19:$H$23,'Ranking Summary'!$I$19:$I$23))</f>
        <v>2</v>
      </c>
      <c r="E11" s="47">
        <f>IF(E4="Offeror Withdrew","",_xlfn.XLOOKUP(E4,'Ranking Summary'!$H$19:$H$23,'Ranking Summary'!$I$19:$I$23))</f>
        <v>5</v>
      </c>
      <c r="F11" s="48">
        <f>IF(F4="Offeror Withdrew","",_xlfn.XLOOKUP(F4,'Ranking Summary'!$H$19:$H$23,'Ranking Summary'!$I$19:$I$23))</f>
        <v>4</v>
      </c>
      <c r="G11" s="47">
        <f>IF(G4="Offeror Withdrew","",_xlfn.XLOOKUP(G4,'Ranking Summary'!$H$19:$H$23,'Ranking Summary'!$I$19:$I$23))</f>
        <v>1</v>
      </c>
      <c r="H11" s="48">
        <f>IF(H4="Offeror Withdrew","",_xlfn.XLOOKUP(H4,'Ranking Summary'!$H$19:$H$23,'Ranking Summary'!$I$19:$I$23))</f>
        <v>3</v>
      </c>
      <c r="J11" s="103">
        <f>IF('Ranking Summary'!$C$3&lt;&gt;"Yes","",D11)</f>
        <v>2</v>
      </c>
      <c r="K11" s="103">
        <f>IF('Ranking Summary'!$C$3&lt;&gt;"Yes","",E11)</f>
        <v>5</v>
      </c>
      <c r="L11" s="103">
        <f>IF('Ranking Summary'!$C$3&lt;&gt;"Yes","",F11)</f>
        <v>4</v>
      </c>
      <c r="M11" s="103">
        <f>IF('Ranking Summary'!$C$3&lt;&gt;"Yes","",G11)</f>
        <v>1</v>
      </c>
      <c r="N11" s="103">
        <f>IF('Ranking Summary'!$C$3&lt;&gt;"Yes","",H11)</f>
        <v>3</v>
      </c>
    </row>
    <row r="12" spans="2:14" x14ac:dyDescent="0.35">
      <c r="B12" s="52" t="s">
        <v>23</v>
      </c>
      <c r="C12" s="47" t="s">
        <v>62</v>
      </c>
      <c r="D12" s="48">
        <f>IF(D4="Offeror Withdrew","",_xlfn.XLOOKUP(D4,'Ranking Summary'!$K$19:$K$23,'Ranking Summary'!$L$19:$L$23))</f>
        <v>2</v>
      </c>
      <c r="E12" s="47">
        <f>IF(E4="Offeror Withdrew","",_xlfn.XLOOKUP(E4,'Ranking Summary'!$K$19:$K$23,'Ranking Summary'!$L$19:$L$23))</f>
        <v>3</v>
      </c>
      <c r="F12" s="48">
        <f>IF(F4="Offeror Withdrew","",_xlfn.XLOOKUP(F4,'Ranking Summary'!$K$19:$K$23,'Ranking Summary'!$L$19:$L$23))</f>
        <v>5</v>
      </c>
      <c r="G12" s="47">
        <f>IF(G4="Offeror Withdrew","",_xlfn.XLOOKUP(G4,'Ranking Summary'!$K$19:$K$23,'Ranking Summary'!$L$19:$L$23))</f>
        <v>4</v>
      </c>
      <c r="H12" s="48">
        <f>IF(H4="Offeror Withdrew","",_xlfn.XLOOKUP(H4,'Ranking Summary'!$K$19:$K$23,'Ranking Summary'!$L$19:$L$23))</f>
        <v>1</v>
      </c>
      <c r="J12" s="103">
        <f>IF('Ranking Summary'!$C$3&lt;&gt;"Yes","",D12)</f>
        <v>2</v>
      </c>
      <c r="K12" s="103">
        <f>IF('Ranking Summary'!$C$3&lt;&gt;"Yes","",E12)</f>
        <v>3</v>
      </c>
      <c r="L12" s="103">
        <f>IF('Ranking Summary'!$C$3&lt;&gt;"Yes","",F12)</f>
        <v>5</v>
      </c>
      <c r="M12" s="103">
        <f>IF('Ranking Summary'!$C$3&lt;&gt;"Yes","",G12)</f>
        <v>4</v>
      </c>
      <c r="N12" s="103">
        <f>IF('Ranking Summary'!$C$3&lt;&gt;"Yes","",H12)</f>
        <v>1</v>
      </c>
    </row>
    <row r="13" spans="2:14" x14ac:dyDescent="0.35">
      <c r="B13" s="52" t="s">
        <v>24</v>
      </c>
      <c r="C13" s="47" t="s">
        <v>30</v>
      </c>
      <c r="D13" s="48">
        <f>IF(D4="Offeror Withdrew","",_xlfn.XLOOKUP(D4,'Ranking Summary'!$B$27:$B$31,'Ranking Summary'!$C$27:$C$31))</f>
        <v>4</v>
      </c>
      <c r="E13" s="47">
        <f>IF(E4="Offeror Withdrew","",_xlfn.XLOOKUP(E4,'Ranking Summary'!$B$27:$B$31,'Ranking Summary'!$C$27:$C$31))</f>
        <v>2</v>
      </c>
      <c r="F13" s="48">
        <f>IF(F4="Offeror Withdrew","",_xlfn.XLOOKUP(F4,'Ranking Summary'!$B$27:$B$31,'Ranking Summary'!$C$27:$C$31))</f>
        <v>1</v>
      </c>
      <c r="G13" s="47">
        <f>IF(G4="Offeror Withdrew","",_xlfn.XLOOKUP(G4,'Ranking Summary'!$B$27:$B$31,'Ranking Summary'!$C$27:$C$31))</f>
        <v>3</v>
      </c>
      <c r="H13" s="48">
        <f>IF(H4="Offeror Withdrew","",_xlfn.XLOOKUP(H4,'Ranking Summary'!$B$27:$B$31,'Ranking Summary'!$C$27:$C$31))</f>
        <v>5</v>
      </c>
      <c r="J13" s="103">
        <f>IF('Ranking Summary'!$C$3&lt;&gt;"Yes","",D13)</f>
        <v>4</v>
      </c>
      <c r="K13" s="103">
        <f>IF('Ranking Summary'!$C$3&lt;&gt;"Yes","",E13)</f>
        <v>2</v>
      </c>
      <c r="L13" s="103">
        <f>IF('Ranking Summary'!$C$3&lt;&gt;"Yes","",F13)</f>
        <v>1</v>
      </c>
      <c r="M13" s="103">
        <f>IF('Ranking Summary'!$C$3&lt;&gt;"Yes","",G13)</f>
        <v>3</v>
      </c>
      <c r="N13" s="103">
        <f>IF('Ranking Summary'!$C$3&lt;&gt;"Yes","",H13)</f>
        <v>5</v>
      </c>
    </row>
    <row r="14" spans="2:14" ht="15.65" customHeight="1" x14ac:dyDescent="0.35">
      <c r="B14" s="52" t="s">
        <v>25</v>
      </c>
      <c r="C14" s="47" t="s">
        <v>31</v>
      </c>
      <c r="D14" s="48">
        <f>IF(D4="Offeror Withdrew","",_xlfn.XLOOKUP(D4,'Ranking Summary'!$E$27:$E$31,'Ranking Summary'!$F$27:$F$31))</f>
        <v>2</v>
      </c>
      <c r="E14" s="47">
        <f>IF(E4="Offeror Withdrew","",_xlfn.XLOOKUP(E4,'Ranking Summary'!$E$27:$E$31,'Ranking Summary'!$F$27:$F$31))</f>
        <v>1</v>
      </c>
      <c r="F14" s="48">
        <f>IF(F4="Offeror Withdrew","",_xlfn.XLOOKUP(F4,'Ranking Summary'!$E$27:$E$31,'Ranking Summary'!$F$27:$F$31))</f>
        <v>5</v>
      </c>
      <c r="G14" s="47">
        <f>IF(G4="Offeror Withdrew","",_xlfn.XLOOKUP(G4,'Ranking Summary'!$E$27:$E$31,'Ranking Summary'!$F$27:$F$31))</f>
        <v>4</v>
      </c>
      <c r="H14" s="48">
        <f>IF(H4="Offeror Withdrew","",_xlfn.XLOOKUP(H4,'Ranking Summary'!$E$27:$E$31,'Ranking Summary'!$F$27:$F$31))</f>
        <v>3</v>
      </c>
      <c r="J14" s="103">
        <f>IF('Ranking Summary'!$C$3&lt;&gt;"Yes","",D14)</f>
        <v>2</v>
      </c>
      <c r="K14" s="103">
        <f>IF('Ranking Summary'!$C$3&lt;&gt;"Yes","",E14)</f>
        <v>1</v>
      </c>
      <c r="L14" s="103">
        <f>IF('Ranking Summary'!$C$3&lt;&gt;"Yes","",F14)</f>
        <v>5</v>
      </c>
      <c r="M14" s="103">
        <f>IF('Ranking Summary'!$C$3&lt;&gt;"Yes","",G14)</f>
        <v>4</v>
      </c>
      <c r="N14" s="103">
        <f>IF('Ranking Summary'!$C$3&lt;&gt;"Yes","",H14)</f>
        <v>3</v>
      </c>
    </row>
    <row r="15" spans="2:14" x14ac:dyDescent="0.35">
      <c r="B15" s="52" t="s">
        <v>26</v>
      </c>
      <c r="C15" s="47" t="s">
        <v>32</v>
      </c>
      <c r="D15" s="48">
        <f>IF(D4="Offeror Withdrew","",_xlfn.XLOOKUP(D4,'Ranking Summary'!$H$27:$H$31,'Ranking Summary'!$I$27:$I$31))</f>
        <v>1</v>
      </c>
      <c r="E15" s="47">
        <f>IF(E4="Offeror Withdrew","",_xlfn.XLOOKUP(E4,'Ranking Summary'!$H$27:$H$31,'Ranking Summary'!$I$27:$I$31))</f>
        <v>2</v>
      </c>
      <c r="F15" s="48">
        <f>IF(F4="Offeror Withdrew","",_xlfn.XLOOKUP(F4,'Ranking Summary'!$H$27:$H$31,'Ranking Summary'!$I$27:$I$31))</f>
        <v>4</v>
      </c>
      <c r="G15" s="47">
        <f>IF(G4="Offeror Withdrew","",_xlfn.XLOOKUP(G4,'Ranking Summary'!$H$27:$H$31,'Ranking Summary'!$I$27:$I$31))</f>
        <v>5</v>
      </c>
      <c r="H15" s="48">
        <f>IF(H4="Offeror Withdrew","",_xlfn.XLOOKUP(H4,'Ranking Summary'!$H$27:$H$31,'Ranking Summary'!$I$27:$I$31))</f>
        <v>2</v>
      </c>
      <c r="J15" s="103">
        <f>IF('Ranking Summary'!$C$3&lt;&gt;"Yes","",D15)</f>
        <v>1</v>
      </c>
      <c r="K15" s="103">
        <f>IF('Ranking Summary'!$C$3&lt;&gt;"Yes","",E15)</f>
        <v>2</v>
      </c>
      <c r="L15" s="103">
        <f>IF('Ranking Summary'!$C$3&lt;&gt;"Yes","",F15)</f>
        <v>4</v>
      </c>
      <c r="M15" s="103">
        <f>IF('Ranking Summary'!$C$3&lt;&gt;"Yes","",G15)</f>
        <v>5</v>
      </c>
      <c r="N15" s="103">
        <f>IF('Ranking Summary'!$C$3&lt;&gt;"Yes","",H15)</f>
        <v>2</v>
      </c>
    </row>
    <row r="16" spans="2:14" x14ac:dyDescent="0.35">
      <c r="B16" s="52" t="s">
        <v>27</v>
      </c>
      <c r="C16" s="47" t="s">
        <v>33</v>
      </c>
      <c r="D16" s="48">
        <f>IF(D4="Offeror Withdrew","",_xlfn.XLOOKUP(D4,'Ranking Summary'!$K$27:$K$31,'Ranking Summary'!$L$27:$L$31))</f>
        <v>2</v>
      </c>
      <c r="E16" s="47">
        <f>IF(E4="Offeror Withdrew","",_xlfn.XLOOKUP(E4,'Ranking Summary'!$K$27:$K$31,'Ranking Summary'!$L$27:$L$31))</f>
        <v>4</v>
      </c>
      <c r="F16" s="48">
        <f>IF(F4="Offeror Withdrew","",_xlfn.XLOOKUP(F4,'Ranking Summary'!$K$27:$K$31,'Ranking Summary'!$L$27:$L$31))</f>
        <v>1</v>
      </c>
      <c r="G16" s="47">
        <f>IF(G4="Offeror Withdrew","",_xlfn.XLOOKUP(G4,'Ranking Summary'!$K$27:$K$31,'Ranking Summary'!$L$27:$L$31))</f>
        <v>3</v>
      </c>
      <c r="H16" s="48">
        <f>IF(H4="Offeror Withdrew","",_xlfn.XLOOKUP(H4,'Ranking Summary'!$K$27:$K$31,'Ranking Summary'!$L$27:$L$31))</f>
        <v>5</v>
      </c>
      <c r="J16" s="103">
        <f>IF('Ranking Summary'!$C$3&lt;&gt;"Yes","",D16)</f>
        <v>2</v>
      </c>
      <c r="K16" s="103">
        <f>IF('Ranking Summary'!$C$3&lt;&gt;"Yes","",E16)</f>
        <v>4</v>
      </c>
      <c r="L16" s="103">
        <f>IF('Ranking Summary'!$C$3&lt;&gt;"Yes","",F16)</f>
        <v>1</v>
      </c>
      <c r="M16" s="103">
        <f>IF('Ranking Summary'!$C$3&lt;&gt;"Yes","",G16)</f>
        <v>3</v>
      </c>
      <c r="N16" s="103">
        <f>IF('Ranking Summary'!$C$3&lt;&gt;"Yes","",H16)</f>
        <v>5</v>
      </c>
    </row>
    <row r="17" spans="2:14" x14ac:dyDescent="0.35">
      <c r="B17" s="52" t="s">
        <v>28</v>
      </c>
      <c r="C17" s="47" t="s">
        <v>34</v>
      </c>
      <c r="D17" s="48">
        <f>IF(D4="Offeror Withdrew","",_xlfn.XLOOKUP(D4,'Ranking Summary'!$B$35:$B$39,'Ranking Summary'!$C$35:$C$39))</f>
        <v>3</v>
      </c>
      <c r="E17" s="47">
        <f>IF(E4="Offeror Withdrew","",_xlfn.XLOOKUP(E4,'Ranking Summary'!$B$35:$B$39,'Ranking Summary'!$C$35:$C$39))</f>
        <v>4</v>
      </c>
      <c r="F17" s="48">
        <f>IF(F4="Offeror Withdrew","",_xlfn.XLOOKUP(F4,'Ranking Summary'!$B$35:$B$39,'Ranking Summary'!$C$35:$C$39))</f>
        <v>2</v>
      </c>
      <c r="G17" s="47">
        <f>IF(G4="Offeror Withdrew","",_xlfn.XLOOKUP(G4,'Ranking Summary'!$B$35:$B$39,'Ranking Summary'!$C$35:$C$39))</f>
        <v>1</v>
      </c>
      <c r="H17" s="48">
        <f>IF(H4="Offeror Withdrew","",_xlfn.XLOOKUP(H4,'Ranking Summary'!$B$35:$B$39,'Ranking Summary'!$C$35:$C$39))</f>
        <v>4</v>
      </c>
      <c r="J17" s="103">
        <f>IF('Ranking Summary'!$C$3&lt;&gt;"Yes","",D17)</f>
        <v>3</v>
      </c>
      <c r="K17" s="103">
        <f>IF('Ranking Summary'!$C$3&lt;&gt;"Yes","",E17)</f>
        <v>4</v>
      </c>
      <c r="L17" s="103">
        <f>IF('Ranking Summary'!$C$3&lt;&gt;"Yes","",F17)</f>
        <v>2</v>
      </c>
      <c r="M17" s="103">
        <f>IF('Ranking Summary'!$C$3&lt;&gt;"Yes","",G17)</f>
        <v>1</v>
      </c>
      <c r="N17" s="103">
        <f>IF('Ranking Summary'!$C$3&lt;&gt;"Yes","",H17)</f>
        <v>4</v>
      </c>
    </row>
    <row r="18" spans="2:14" ht="15" thickBot="1" x14ac:dyDescent="0.4">
      <c r="B18" s="3" t="s">
        <v>77</v>
      </c>
      <c r="C18" s="4" t="s">
        <v>46</v>
      </c>
      <c r="D18" s="49">
        <f>IF(D4="Offeror Withdrew","",_xlfn.XLOOKUP(D4,'Ranking Summary'!$E$35:$E$39,'Ranking Summary'!$F$35:$F$39))</f>
        <v>0</v>
      </c>
      <c r="E18" s="95">
        <f>IF(E4="Offeror Withdrew","",_xlfn.XLOOKUP(E4,'Ranking Summary'!$E$35:$E$39,'Ranking Summary'!$F$35:$F$39))</f>
        <v>0</v>
      </c>
      <c r="F18" s="49">
        <f>IF(F4="Offeror Withdrew","",_xlfn.XLOOKUP(F4,'Ranking Summary'!$E$35:$E$39,'Ranking Summary'!$F$35:$F$39))</f>
        <v>0</v>
      </c>
      <c r="G18" s="95">
        <f>IF(G4="Offeror Withdrew","",_xlfn.XLOOKUP(G4,'Ranking Summary'!$E$35:$E$39,'Ranking Summary'!$F$35:$F$39))</f>
        <v>0</v>
      </c>
      <c r="H18" s="49">
        <f>IF(H4="Offeror Withdrew","",_xlfn.XLOOKUP(H4,'Ranking Summary'!$E$35:$E$39,'Ranking Summary'!$F$35:$F$39))</f>
        <v>0</v>
      </c>
      <c r="J18" s="104">
        <f>IF(OR(J4="Offeror Withdrew",'Ranking Summary'!$C$3&lt;&gt;"Yes"),"",_xlfn.XLOOKUP(J4,'Ranking Summary'!$H$35:$H$39,'Ranking Summary'!$I$35:$I$39))</f>
        <v>4</v>
      </c>
      <c r="K18" s="104">
        <f>IF(OR(K4="Offeror Withdrew",'Ranking Summary'!$C$3&lt;&gt;"Yes"),"",_xlfn.XLOOKUP(K4,'Ranking Summary'!$H$35:$H$39,'Ranking Summary'!$I$35:$I$39))</f>
        <v>4</v>
      </c>
      <c r="L18" s="104">
        <f>IF(OR(L4="Offeror Withdrew",'Ranking Summary'!$C$3&lt;&gt;"Yes"),"",_xlfn.XLOOKUP(L4,'Ranking Summary'!$H$35:$H$39,'Ranking Summary'!$I$35:$I$39))</f>
        <v>3</v>
      </c>
      <c r="M18" s="104">
        <f>IF(OR(M4="Offeror Withdrew",'Ranking Summary'!$C$3&lt;&gt;"Yes"),"",_xlfn.XLOOKUP(M4,'Ranking Summary'!$H$35:$H$39,'Ranking Summary'!$I$35:$I$39))</f>
        <v>1</v>
      </c>
      <c r="N18" s="104">
        <f>IF(OR(N4="Offeror Withdrew",'Ranking Summary'!$C$3&lt;&gt;"Yes"),"",_xlfn.XLOOKUP(N4,'Ranking Summary'!$H$35:$H$39,'Ranking Summary'!$I$35:$I$39))</f>
        <v>2</v>
      </c>
    </row>
    <row r="19" spans="2:14" x14ac:dyDescent="0.35">
      <c r="H19" s="38"/>
    </row>
  </sheetData>
  <sheetProtection algorithmName="SHA-512" hashValue="sN1WKg9KjujXuIZ81K0I/4o7uowpGr9wKJDypkydDB5dO2utk7dPhrJfDm769YLdzOJgMsq29FX4SXov24QLAw==" saltValue="dnnKboU1Az/XYbPSe+rrnQ==" spinCount="100000" sheet="1" objects="1" scenarios="1"/>
  <mergeCells count="3">
    <mergeCell ref="D3:H3"/>
    <mergeCell ref="B1:N1"/>
    <mergeCell ref="J3:N3"/>
  </mergeCells>
  <conditionalFormatting sqref="D4:H18">
    <cfRule type="expression" dxfId="40" priority="2">
      <formula>D$4="Offeror Withdrew"</formula>
    </cfRule>
  </conditionalFormatting>
  <conditionalFormatting sqref="J4:N18">
    <cfRule type="expression" dxfId="37" priority="1">
      <formula>J$4="Offeror Withdrew"</formula>
    </cfRule>
  </conditionalFormatting>
  <pageMargins left="0.7" right="0.7" top="0.75" bottom="0.75" header="0.3" footer="0.3"/>
  <pageSetup scale="6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742E34D-D773-454D-9F98-9C6C3E9E9E5B}">
            <xm:f>'Ranking Summary'!$C$3="Yes"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D4:H18</xm:sqref>
        </x14:conditionalFormatting>
        <x14:conditionalFormatting xmlns:xm="http://schemas.microsoft.com/office/excel/2006/main">
          <x14:cfRule type="expression" priority="4" id="{79A6274C-2D02-4A50-9382-DAD373D9D20E}">
            <xm:f>'Ranking Summary'!$C$3="Yes"</xm:f>
            <x14:dxf>
              <font>
                <color theme="0"/>
              </font>
              <fill>
                <patternFill>
                  <bgColor rgb="FF318DCC"/>
                </patternFill>
              </fill>
            </x14:dxf>
          </x14:cfRule>
          <xm:sqref>J4:N4</xm:sqref>
        </x14:conditionalFormatting>
        <x14:conditionalFormatting xmlns:xm="http://schemas.microsoft.com/office/excel/2006/main">
          <x14:cfRule type="expression" priority="3" id="{78369CB4-4B3E-42AD-A9E6-0664ACD399AF}">
            <xm:f>'Ranking Summary'!$C$3="Yes"</xm:f>
            <x14:dxf>
              <fill>
                <patternFill patternType="none">
                  <bgColor auto="1"/>
                </patternFill>
              </fill>
            </x14:dxf>
          </x14:cfRule>
          <xm:sqref>J8:N18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EEA3-8180-4D74-B329-9232E5211E44}">
  <dimension ref="B1:O24"/>
  <sheetViews>
    <sheetView showGridLines="0" zoomScaleNormal="100" workbookViewId="0">
      <selection activeCell="L36" sqref="L36"/>
    </sheetView>
  </sheetViews>
  <sheetFormatPr defaultRowHeight="14.5" x14ac:dyDescent="0.35"/>
  <cols>
    <col min="2" max="2" width="10.26953125" bestFit="1" customWidth="1"/>
    <col min="3" max="3" width="42.453125" bestFit="1" customWidth="1"/>
    <col min="4" max="4" width="17.7265625" customWidth="1"/>
    <col min="5" max="8" width="17.7265625" hidden="1" customWidth="1"/>
    <col min="9" max="9" width="19.26953125" hidden="1" customWidth="1"/>
    <col min="10" max="10" width="2.81640625" hidden="1" customWidth="1"/>
    <col min="11" max="14" width="17.7265625" customWidth="1"/>
    <col min="15" max="15" width="19" customWidth="1"/>
  </cols>
  <sheetData>
    <row r="1" spans="2:15" ht="26" x14ac:dyDescent="0.6">
      <c r="B1" s="163" t="s">
        <v>66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2:15" ht="18.5" x14ac:dyDescent="0.45">
      <c r="B2" s="177" t="s">
        <v>67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4" spans="2:15" ht="19" thickBot="1" x14ac:dyDescent="0.5">
      <c r="E4" s="177" t="s">
        <v>48</v>
      </c>
      <c r="F4" s="177"/>
      <c r="G4" s="177"/>
      <c r="H4" s="177"/>
      <c r="I4" s="177"/>
      <c r="K4" s="177" t="s">
        <v>45</v>
      </c>
      <c r="L4" s="177"/>
      <c r="M4" s="177"/>
      <c r="N4" s="177"/>
      <c r="O4" s="177"/>
    </row>
    <row r="5" spans="2:15" ht="44" thickBot="1" x14ac:dyDescent="0.4">
      <c r="B5" s="6" t="s">
        <v>42</v>
      </c>
      <c r="C5" s="7" t="s">
        <v>43</v>
      </c>
      <c r="D5" s="7" t="s">
        <v>0</v>
      </c>
      <c r="E5" s="42" t="str">
        <f>'Scores Statewide'!F7</f>
        <v>ARIZONA PHYSICIANS IPA, INC.</v>
      </c>
      <c r="F5" s="42" t="str">
        <f>'Scores Statewide'!G7</f>
        <v>BANNER-UNIVERSITY CARE ADVANTAGE</v>
      </c>
      <c r="G5" s="94" t="str">
        <f>'Scores Statewide'!H7</f>
        <v>BCBSAZ HEALTH CHOICE</v>
      </c>
      <c r="H5" s="42" t="str">
        <f>'Scores Statewide'!I7</f>
        <v>HEALTH NET ACCESS</v>
      </c>
      <c r="I5" s="42" t="str">
        <f>'Scores Statewide'!J7</f>
        <v>MERCY CARE</v>
      </c>
      <c r="K5" s="88" t="str">
        <f>E5</f>
        <v>ARIZONA PHYSICIANS IPA, INC.</v>
      </c>
      <c r="L5" s="88" t="str">
        <f t="shared" ref="L5:O5" si="0">F5</f>
        <v>BANNER-UNIVERSITY CARE ADVANTAGE</v>
      </c>
      <c r="M5" s="116" t="str">
        <f t="shared" si="0"/>
        <v>BCBSAZ HEALTH CHOICE</v>
      </c>
      <c r="N5" s="88" t="str">
        <f t="shared" si="0"/>
        <v>HEALTH NET ACCESS</v>
      </c>
      <c r="O5" s="88" t="str">
        <f t="shared" si="0"/>
        <v>MERCY CARE</v>
      </c>
    </row>
    <row r="6" spans="2:15" x14ac:dyDescent="0.35">
      <c r="B6" s="96" t="s">
        <v>56</v>
      </c>
      <c r="C6" s="97" t="s">
        <v>63</v>
      </c>
      <c r="D6" s="106" t="s">
        <v>55</v>
      </c>
      <c r="E6" s="114"/>
      <c r="F6" s="114"/>
      <c r="G6" s="109"/>
      <c r="H6" s="114"/>
      <c r="I6" s="114"/>
      <c r="K6" s="117"/>
      <c r="L6" s="117"/>
      <c r="M6" s="118"/>
      <c r="N6" s="117"/>
      <c r="O6" s="117"/>
    </row>
    <row r="7" spans="2:15" x14ac:dyDescent="0.35">
      <c r="B7" s="100" t="s">
        <v>57</v>
      </c>
      <c r="C7" s="101" t="s">
        <v>64</v>
      </c>
      <c r="D7" s="107" t="s">
        <v>55</v>
      </c>
      <c r="E7" s="115"/>
      <c r="F7" s="115"/>
      <c r="G7" s="110"/>
      <c r="H7" s="115"/>
      <c r="I7" s="115"/>
      <c r="K7" s="119"/>
      <c r="L7" s="119"/>
      <c r="M7" s="120"/>
      <c r="N7" s="119"/>
      <c r="O7" s="119"/>
    </row>
    <row r="8" spans="2:15" x14ac:dyDescent="0.35">
      <c r="B8" s="100" t="s">
        <v>58</v>
      </c>
      <c r="C8" s="101" t="s">
        <v>65</v>
      </c>
      <c r="D8" s="107" t="s">
        <v>55</v>
      </c>
      <c r="E8" s="115"/>
      <c r="F8" s="115"/>
      <c r="G8" s="110"/>
      <c r="H8" s="115"/>
      <c r="I8" s="115"/>
      <c r="K8" s="119"/>
      <c r="L8" s="119"/>
      <c r="M8" s="120"/>
      <c r="N8" s="119"/>
      <c r="O8" s="119"/>
    </row>
    <row r="9" spans="2:15" x14ac:dyDescent="0.35">
      <c r="B9" s="50" t="s">
        <v>17</v>
      </c>
      <c r="C9" s="51" t="s">
        <v>59</v>
      </c>
      <c r="D9" s="108">
        <v>75</v>
      </c>
      <c r="E9" s="105">
        <f>'Scores Statewide'!F15</f>
        <v>45</v>
      </c>
      <c r="F9" s="105">
        <f>'Scores Statewide'!G15</f>
        <v>15</v>
      </c>
      <c r="G9" s="111">
        <f>'Scores Statewide'!H15</f>
        <v>30</v>
      </c>
      <c r="H9" s="105">
        <f>'Scores Statewide'!I15</f>
        <v>60</v>
      </c>
      <c r="I9" s="105">
        <f>'Scores Statewide'!J15</f>
        <v>75</v>
      </c>
      <c r="K9" s="121">
        <f>IF('Ranking Summary'!$C$3&lt;&gt;"Yes","",E9)</f>
        <v>45</v>
      </c>
      <c r="L9" s="121">
        <f>IF('Ranking Summary'!$C$3&lt;&gt;"Yes","",F9)</f>
        <v>15</v>
      </c>
      <c r="M9" s="122">
        <f>IF('Ranking Summary'!$C$3&lt;&gt;"Yes","",G9)</f>
        <v>30</v>
      </c>
      <c r="N9" s="121">
        <f>IF('Ranking Summary'!$C$3&lt;&gt;"Yes","",H9)</f>
        <v>60</v>
      </c>
      <c r="O9" s="121">
        <f>IF('Ranking Summary'!$C$3&lt;&gt;"Yes","",I9)</f>
        <v>75</v>
      </c>
    </row>
    <row r="10" spans="2:15" x14ac:dyDescent="0.35">
      <c r="B10" s="50" t="s">
        <v>20</v>
      </c>
      <c r="C10" s="51" t="s">
        <v>60</v>
      </c>
      <c r="D10" s="108">
        <v>145</v>
      </c>
      <c r="E10" s="60">
        <f>'Scores Statewide'!F17</f>
        <v>116</v>
      </c>
      <c r="F10" s="60">
        <f>'Scores Statewide'!G17</f>
        <v>145</v>
      </c>
      <c r="G10" s="112">
        <f>'Scores Statewide'!H17</f>
        <v>29</v>
      </c>
      <c r="H10" s="60">
        <f>'Scores Statewide'!I17</f>
        <v>87</v>
      </c>
      <c r="I10" s="60">
        <f>'Scores Statewide'!J17</f>
        <v>58</v>
      </c>
      <c r="K10" s="123">
        <f>IF('Ranking Summary'!$C$3&lt;&gt;"Yes","",E10)</f>
        <v>116</v>
      </c>
      <c r="L10" s="123">
        <f>IF('Ranking Summary'!$C$3&lt;&gt;"Yes","",F10)</f>
        <v>145</v>
      </c>
      <c r="M10" s="124">
        <f>IF('Ranking Summary'!$C$3&lt;&gt;"Yes","",G10)</f>
        <v>29</v>
      </c>
      <c r="N10" s="123">
        <f>IF('Ranking Summary'!$C$3&lt;&gt;"Yes","",H10)</f>
        <v>87</v>
      </c>
      <c r="O10" s="123">
        <f>IF('Ranking Summary'!$C$3&lt;&gt;"Yes","",I10)</f>
        <v>58</v>
      </c>
    </row>
    <row r="11" spans="2:15" x14ac:dyDescent="0.35">
      <c r="B11" s="50" t="s">
        <v>21</v>
      </c>
      <c r="C11" s="51" t="s">
        <v>29</v>
      </c>
      <c r="D11" s="108">
        <v>40</v>
      </c>
      <c r="E11" s="60">
        <f>'Scores Statewide'!F19</f>
        <v>20</v>
      </c>
      <c r="F11" s="60">
        <f>'Scores Statewide'!G19</f>
        <v>20</v>
      </c>
      <c r="G11" s="112">
        <f>'Scores Statewide'!H19</f>
        <v>8</v>
      </c>
      <c r="H11" s="60">
        <f>'Scores Statewide'!I19</f>
        <v>40</v>
      </c>
      <c r="I11" s="60">
        <f>'Scores Statewide'!J19</f>
        <v>32</v>
      </c>
      <c r="K11" s="123">
        <f>IF('Ranking Summary'!$C$3&lt;&gt;"Yes","",E11)</f>
        <v>20</v>
      </c>
      <c r="L11" s="123">
        <f>IF('Ranking Summary'!$C$3&lt;&gt;"Yes","",F11)</f>
        <v>20</v>
      </c>
      <c r="M11" s="124">
        <f>IF('Ranking Summary'!$C$3&lt;&gt;"Yes","",G11)</f>
        <v>8</v>
      </c>
      <c r="N11" s="123">
        <f>IF('Ranking Summary'!$C$3&lt;&gt;"Yes","",H11)</f>
        <v>40</v>
      </c>
      <c r="O11" s="123">
        <f>IF('Ranking Summary'!$C$3&lt;&gt;"Yes","",I11)</f>
        <v>32</v>
      </c>
    </row>
    <row r="12" spans="2:15" x14ac:dyDescent="0.35">
      <c r="B12" s="50" t="s">
        <v>22</v>
      </c>
      <c r="C12" s="51" t="s">
        <v>61</v>
      </c>
      <c r="D12" s="108">
        <v>75</v>
      </c>
      <c r="E12" s="60">
        <f>'Scores Statewide'!F21</f>
        <v>60</v>
      </c>
      <c r="F12" s="60">
        <f>'Scores Statewide'!G21</f>
        <v>15</v>
      </c>
      <c r="G12" s="112">
        <f>'Scores Statewide'!H21</f>
        <v>30</v>
      </c>
      <c r="H12" s="60">
        <f>'Scores Statewide'!I21</f>
        <v>75</v>
      </c>
      <c r="I12" s="60">
        <f>'Scores Statewide'!J21</f>
        <v>45</v>
      </c>
      <c r="K12" s="123">
        <f>IF('Ranking Summary'!$C$3&lt;&gt;"Yes","",E12)</f>
        <v>60</v>
      </c>
      <c r="L12" s="123">
        <f>IF('Ranking Summary'!$C$3&lt;&gt;"Yes","",F12)</f>
        <v>15</v>
      </c>
      <c r="M12" s="124">
        <f>IF('Ranking Summary'!$C$3&lt;&gt;"Yes","",G12)</f>
        <v>30</v>
      </c>
      <c r="N12" s="123">
        <f>IF('Ranking Summary'!$C$3&lt;&gt;"Yes","",H12)</f>
        <v>75</v>
      </c>
      <c r="O12" s="123">
        <f>IF('Ranking Summary'!$C$3&lt;&gt;"Yes","",I12)</f>
        <v>45</v>
      </c>
    </row>
    <row r="13" spans="2:15" x14ac:dyDescent="0.35">
      <c r="B13" s="50" t="s">
        <v>23</v>
      </c>
      <c r="C13" s="51" t="s">
        <v>62</v>
      </c>
      <c r="D13" s="108">
        <v>145</v>
      </c>
      <c r="E13" s="60">
        <f>'Scores Statewide'!F23</f>
        <v>116</v>
      </c>
      <c r="F13" s="60">
        <f>'Scores Statewide'!G23</f>
        <v>87</v>
      </c>
      <c r="G13" s="112">
        <f>'Scores Statewide'!H23</f>
        <v>29</v>
      </c>
      <c r="H13" s="60">
        <f>'Scores Statewide'!I23</f>
        <v>58</v>
      </c>
      <c r="I13" s="60">
        <f>'Scores Statewide'!J23</f>
        <v>145</v>
      </c>
      <c r="K13" s="123">
        <f>IF('Ranking Summary'!$C$3&lt;&gt;"Yes","",E13)</f>
        <v>116</v>
      </c>
      <c r="L13" s="123">
        <f>IF('Ranking Summary'!$C$3&lt;&gt;"Yes","",F13)</f>
        <v>87</v>
      </c>
      <c r="M13" s="124">
        <f>IF('Ranking Summary'!$C$3&lt;&gt;"Yes","",G13)</f>
        <v>29</v>
      </c>
      <c r="N13" s="123">
        <f>IF('Ranking Summary'!$C$3&lt;&gt;"Yes","",H13)</f>
        <v>58</v>
      </c>
      <c r="O13" s="123">
        <f>IF('Ranking Summary'!$C$3&lt;&gt;"Yes","",I13)</f>
        <v>145</v>
      </c>
    </row>
    <row r="14" spans="2:15" x14ac:dyDescent="0.35">
      <c r="B14" s="50" t="s">
        <v>24</v>
      </c>
      <c r="C14" s="51" t="s">
        <v>30</v>
      </c>
      <c r="D14" s="108">
        <v>75</v>
      </c>
      <c r="E14" s="60">
        <f>'Scores Statewide'!F25</f>
        <v>30</v>
      </c>
      <c r="F14" s="60">
        <f>'Scores Statewide'!G25</f>
        <v>60</v>
      </c>
      <c r="G14" s="112">
        <f>'Scores Statewide'!H25</f>
        <v>75</v>
      </c>
      <c r="H14" s="60">
        <f>'Scores Statewide'!I25</f>
        <v>45</v>
      </c>
      <c r="I14" s="60">
        <f>'Scores Statewide'!J25</f>
        <v>15</v>
      </c>
      <c r="K14" s="123">
        <f>IF('Ranking Summary'!$C$3&lt;&gt;"Yes","",E14)</f>
        <v>30</v>
      </c>
      <c r="L14" s="123">
        <f>IF('Ranking Summary'!$C$3&lt;&gt;"Yes","",F14)</f>
        <v>60</v>
      </c>
      <c r="M14" s="124">
        <f>IF('Ranking Summary'!$C$3&lt;&gt;"Yes","",G14)</f>
        <v>75</v>
      </c>
      <c r="N14" s="123">
        <f>IF('Ranking Summary'!$C$3&lt;&gt;"Yes","",H14)</f>
        <v>45</v>
      </c>
      <c r="O14" s="123">
        <f>IF('Ranking Summary'!$C$3&lt;&gt;"Yes","",I14)</f>
        <v>15</v>
      </c>
    </row>
    <row r="15" spans="2:15" x14ac:dyDescent="0.35">
      <c r="B15" s="50" t="s">
        <v>25</v>
      </c>
      <c r="C15" s="51" t="s">
        <v>31</v>
      </c>
      <c r="D15" s="108">
        <v>35</v>
      </c>
      <c r="E15" s="60">
        <f>'Scores Statewide'!F27</f>
        <v>28</v>
      </c>
      <c r="F15" s="60">
        <f>'Scores Statewide'!G27</f>
        <v>35</v>
      </c>
      <c r="G15" s="112">
        <f>'Scores Statewide'!H27</f>
        <v>7</v>
      </c>
      <c r="H15" s="60">
        <f>'Scores Statewide'!I27</f>
        <v>14</v>
      </c>
      <c r="I15" s="60">
        <f>'Scores Statewide'!J27</f>
        <v>21</v>
      </c>
      <c r="K15" s="123">
        <f>IF('Ranking Summary'!$C$3&lt;&gt;"Yes","",E15)</f>
        <v>28</v>
      </c>
      <c r="L15" s="123">
        <f>IF('Ranking Summary'!$C$3&lt;&gt;"Yes","",F15)</f>
        <v>35</v>
      </c>
      <c r="M15" s="124">
        <f>IF('Ranking Summary'!$C$3&lt;&gt;"Yes","",G15)</f>
        <v>7</v>
      </c>
      <c r="N15" s="123">
        <f>IF('Ranking Summary'!$C$3&lt;&gt;"Yes","",H15)</f>
        <v>14</v>
      </c>
      <c r="O15" s="123">
        <f>IF('Ranking Summary'!$C$3&lt;&gt;"Yes","",I15)</f>
        <v>21</v>
      </c>
    </row>
    <row r="16" spans="2:15" x14ac:dyDescent="0.35">
      <c r="B16" s="50" t="s">
        <v>26</v>
      </c>
      <c r="C16" s="51" t="s">
        <v>32</v>
      </c>
      <c r="D16" s="108">
        <v>20</v>
      </c>
      <c r="E16" s="60">
        <f>'Scores Statewide'!F29</f>
        <v>20</v>
      </c>
      <c r="F16" s="60">
        <f>'Scores Statewide'!G29</f>
        <v>14</v>
      </c>
      <c r="G16" s="112">
        <f>'Scores Statewide'!H29</f>
        <v>8</v>
      </c>
      <c r="H16" s="60">
        <f>'Scores Statewide'!I29</f>
        <v>4</v>
      </c>
      <c r="I16" s="60">
        <f>'Scores Statewide'!J29</f>
        <v>14</v>
      </c>
      <c r="K16" s="123">
        <f>IF('Ranking Summary'!$C$3&lt;&gt;"Yes","",E16)</f>
        <v>20</v>
      </c>
      <c r="L16" s="123">
        <f>IF('Ranking Summary'!$C$3&lt;&gt;"Yes","",F16)</f>
        <v>14</v>
      </c>
      <c r="M16" s="124">
        <f>IF('Ranking Summary'!$C$3&lt;&gt;"Yes","",G16)</f>
        <v>8</v>
      </c>
      <c r="N16" s="123">
        <f>IF('Ranking Summary'!$C$3&lt;&gt;"Yes","",H16)</f>
        <v>4</v>
      </c>
      <c r="O16" s="123">
        <f>IF('Ranking Summary'!$C$3&lt;&gt;"Yes","",I16)</f>
        <v>14</v>
      </c>
    </row>
    <row r="17" spans="2:15" x14ac:dyDescent="0.35">
      <c r="B17" s="50" t="s">
        <v>27</v>
      </c>
      <c r="C17" s="51" t="s">
        <v>33</v>
      </c>
      <c r="D17" s="108">
        <v>145</v>
      </c>
      <c r="E17" s="60">
        <f>'Scores Statewide'!F31</f>
        <v>116</v>
      </c>
      <c r="F17" s="60">
        <f>'Scores Statewide'!G31</f>
        <v>58</v>
      </c>
      <c r="G17" s="112">
        <f>'Scores Statewide'!H31</f>
        <v>145</v>
      </c>
      <c r="H17" s="60">
        <f>'Scores Statewide'!I31</f>
        <v>87</v>
      </c>
      <c r="I17" s="60">
        <f>'Scores Statewide'!J31</f>
        <v>29</v>
      </c>
      <c r="K17" s="123">
        <f>IF('Ranking Summary'!$C$3&lt;&gt;"Yes","",E17)</f>
        <v>116</v>
      </c>
      <c r="L17" s="123">
        <f>IF('Ranking Summary'!$C$3&lt;&gt;"Yes","",F17)</f>
        <v>58</v>
      </c>
      <c r="M17" s="124">
        <f>IF('Ranking Summary'!$C$3&lt;&gt;"Yes","",G17)</f>
        <v>145</v>
      </c>
      <c r="N17" s="123">
        <f>IF('Ranking Summary'!$C$3&lt;&gt;"Yes","",H17)</f>
        <v>87</v>
      </c>
      <c r="O17" s="123">
        <f>IF('Ranking Summary'!$C$3&lt;&gt;"Yes","",I17)</f>
        <v>29</v>
      </c>
    </row>
    <row r="18" spans="2:15" x14ac:dyDescent="0.35">
      <c r="B18" s="50" t="s">
        <v>28</v>
      </c>
      <c r="C18" s="51" t="s">
        <v>34</v>
      </c>
      <c r="D18" s="108">
        <v>145</v>
      </c>
      <c r="E18" s="60">
        <f>'Scores Statewide'!F33</f>
        <v>87</v>
      </c>
      <c r="F18" s="60">
        <f>'Scores Statewide'!G33</f>
        <v>43.5</v>
      </c>
      <c r="G18" s="112">
        <f>'Scores Statewide'!H33</f>
        <v>116</v>
      </c>
      <c r="H18" s="60">
        <f>'Scores Statewide'!I33</f>
        <v>145</v>
      </c>
      <c r="I18" s="60">
        <f>'Scores Statewide'!J33</f>
        <v>43.5</v>
      </c>
      <c r="K18" s="123">
        <f>IF('Ranking Summary'!$C$3&lt;&gt;"Yes","",E18)</f>
        <v>87</v>
      </c>
      <c r="L18" s="123">
        <f>IF('Ranking Summary'!$C$3&lt;&gt;"Yes","",F18)</f>
        <v>43.5</v>
      </c>
      <c r="M18" s="124">
        <f>IF('Ranking Summary'!$C$3&lt;&gt;"Yes","",G18)</f>
        <v>116</v>
      </c>
      <c r="N18" s="123">
        <f>IF('Ranking Summary'!$C$3&lt;&gt;"Yes","",H18)</f>
        <v>145</v>
      </c>
      <c r="O18" s="123">
        <f>IF('Ranking Summary'!$C$3&lt;&gt;"Yes","",I18)</f>
        <v>43.5</v>
      </c>
    </row>
    <row r="19" spans="2:15" ht="15" thickBot="1" x14ac:dyDescent="0.4">
      <c r="B19" s="3" t="s">
        <v>77</v>
      </c>
      <c r="C19" s="4" t="s">
        <v>46</v>
      </c>
      <c r="D19" s="62">
        <v>100</v>
      </c>
      <c r="E19" s="61">
        <f>'Scores Statewide'!F35</f>
        <v>0</v>
      </c>
      <c r="F19" s="61">
        <f>'Scores Statewide'!G35</f>
        <v>0</v>
      </c>
      <c r="G19" s="113">
        <f>'Scores Statewide'!H35</f>
        <v>0</v>
      </c>
      <c r="H19" s="61">
        <f>'Scores Statewide'!I35</f>
        <v>0</v>
      </c>
      <c r="I19" s="61">
        <f>'Scores Statewide'!J35</f>
        <v>0</v>
      </c>
      <c r="K19" s="125">
        <f>IF('Ranking Summary'!$C$3&lt;&gt;"Yes","",'Scores Statewide'!L35)</f>
        <v>30</v>
      </c>
      <c r="L19" s="125">
        <f>IF('Ranking Summary'!$C$3&lt;&gt;"Yes","",'Scores Statewide'!M35)</f>
        <v>30</v>
      </c>
      <c r="M19" s="126">
        <f>IF('Ranking Summary'!$C$3&lt;&gt;"Yes","",'Scores Statewide'!N35)</f>
        <v>60</v>
      </c>
      <c r="N19" s="125">
        <f>IF('Ranking Summary'!$C$3&lt;&gt;"Yes","",'Scores Statewide'!O35)</f>
        <v>100</v>
      </c>
      <c r="O19" s="125">
        <f>IF('Ranking Summary'!$C$3&lt;&gt;"Yes","",'Scores Statewide'!P35)</f>
        <v>80</v>
      </c>
    </row>
    <row r="20" spans="2:15" ht="15" thickBot="1" x14ac:dyDescent="0.4">
      <c r="B20" s="54"/>
      <c r="C20" s="55" t="s">
        <v>6</v>
      </c>
      <c r="D20" s="56">
        <f>SUM(D9:D19)</f>
        <v>1000</v>
      </c>
      <c r="E20" s="57">
        <f>SUM(E9:E19)</f>
        <v>638</v>
      </c>
      <c r="F20" s="57">
        <f t="shared" ref="F20:H20" si="1">SUM(F9:F19)</f>
        <v>492.5</v>
      </c>
      <c r="G20" s="57">
        <f t="shared" si="1"/>
        <v>477</v>
      </c>
      <c r="H20" s="57">
        <f t="shared" si="1"/>
        <v>615</v>
      </c>
      <c r="I20" s="57">
        <f>SUM(I9:I19)</f>
        <v>477.5</v>
      </c>
      <c r="K20" s="93">
        <f t="shared" ref="K20:O20" si="2">SUM(K9:K19)</f>
        <v>668</v>
      </c>
      <c r="L20" s="93">
        <f t="shared" si="2"/>
        <v>522.5</v>
      </c>
      <c r="M20" s="93">
        <f t="shared" si="2"/>
        <v>537</v>
      </c>
      <c r="N20" s="93">
        <f t="shared" si="2"/>
        <v>715</v>
      </c>
      <c r="O20" s="93">
        <f t="shared" si="2"/>
        <v>557.5</v>
      </c>
    </row>
    <row r="21" spans="2:15" ht="15" thickBot="1" x14ac:dyDescent="0.4">
      <c r="B21" s="54"/>
      <c r="C21" s="55" t="s">
        <v>11</v>
      </c>
      <c r="D21" s="56"/>
      <c r="E21" s="59">
        <f>IF(E20=0,"",RANK(E20,$E$20:$I$20,0))</f>
        <v>1</v>
      </c>
      <c r="F21" s="59">
        <f t="shared" ref="F21:I21" si="3">IF(F20=0,"",RANK(F20,$E$20:$I$20,0))</f>
        <v>3</v>
      </c>
      <c r="G21" s="59">
        <f t="shared" si="3"/>
        <v>5</v>
      </c>
      <c r="H21" s="59">
        <f t="shared" si="3"/>
        <v>2</v>
      </c>
      <c r="I21" s="59">
        <f t="shared" si="3"/>
        <v>4</v>
      </c>
      <c r="K21" s="127">
        <f>IF(K20=0,"",RANK(K20,$K$20:$O$20,0))</f>
        <v>2</v>
      </c>
      <c r="L21" s="127">
        <f t="shared" ref="L21:O21" si="4">IF(L20=0,"",RANK(L20,$K$20:$O$20,0))</f>
        <v>5</v>
      </c>
      <c r="M21" s="127">
        <f t="shared" si="4"/>
        <v>4</v>
      </c>
      <c r="N21" s="127">
        <f t="shared" si="4"/>
        <v>1</v>
      </c>
      <c r="O21" s="127">
        <f t="shared" si="4"/>
        <v>3</v>
      </c>
    </row>
    <row r="23" spans="2:15" ht="15" hidden="1" thickBot="1" x14ac:dyDescent="0.4">
      <c r="E23" s="138" t="str">
        <f>E20&amp;"-"&amp;COUNTIF($E$20:E20,E20)</f>
        <v>638-1</v>
      </c>
      <c r="F23" s="138" t="str">
        <f>F20&amp;"-"&amp;COUNTIF($E$20:F20,F20)</f>
        <v>492.5-1</v>
      </c>
      <c r="G23" s="138" t="str">
        <f>G20&amp;"-"&amp;COUNTIF($E$20:G20,G20)</f>
        <v>477-1</v>
      </c>
      <c r="H23" s="138" t="str">
        <f>H20&amp;"-"&amp;COUNTIF($E$20:H20,H20)</f>
        <v>615-1</v>
      </c>
      <c r="I23" s="138" t="str">
        <f>I20&amp;"-"&amp;COUNTIF($E$20:I20,I20)</f>
        <v>477.5-1</v>
      </c>
      <c r="K23" s="137" t="str">
        <f>K20&amp;"-"&amp;COUNTIF($K$20:K20,K20)</f>
        <v>668-1</v>
      </c>
      <c r="L23" s="137" t="str">
        <f>L20&amp;"-"&amp;COUNTIF($K$20:L20,L20)</f>
        <v>522.5-1</v>
      </c>
      <c r="M23" s="137" t="str">
        <f>M20&amp;"-"&amp;COUNTIF($K$20:M20,M20)</f>
        <v>537-1</v>
      </c>
      <c r="N23" s="137" t="str">
        <f>N20&amp;"-"&amp;COUNTIF($K$20:N20,N20)</f>
        <v>715-1</v>
      </c>
      <c r="O23" s="138" t="str">
        <f>O20&amp;"-"&amp;COUNTIF($K$20:O20,O20)</f>
        <v>557.5-1</v>
      </c>
    </row>
    <row r="24" spans="2:15" x14ac:dyDescent="0.35"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</sheetData>
  <sheetProtection algorithmName="SHA-512" hashValue="8pOYzSM5tKk+nKmtvtjPUZNG+U7vE0Iff6AsZpKznJ9Sa/MMi94i1AiMpLEj/klNmygrQpQeCizz2wsxa1zDzw==" saltValue="NtuJgJTsqA8tlCie509fyQ==" spinCount="100000" sheet="1" objects="1" scenarios="1"/>
  <mergeCells count="4">
    <mergeCell ref="B1:O1"/>
    <mergeCell ref="B2:O2"/>
    <mergeCell ref="E4:I4"/>
    <mergeCell ref="K4:O4"/>
  </mergeCells>
  <conditionalFormatting sqref="E5:I21">
    <cfRule type="expression" dxfId="5" priority="2">
      <formula>E$5="Offeror Withdrew"</formula>
    </cfRule>
  </conditionalFormatting>
  <conditionalFormatting sqref="K5:O21">
    <cfRule type="expression" dxfId="2" priority="1">
      <formula>K$5="Offeror Withdrew"</formula>
    </cfRule>
  </conditionalFormatting>
  <pageMargins left="0.7" right="0.7" top="0.75" bottom="0.75" header="0.3" footer="0.3"/>
  <pageSetup scale="5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FA97704-DA09-4802-9605-BAB2EEF216E4}">
            <xm:f>'Ranking Summary'!$C$3="Yes"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E5:I21</xm:sqref>
        </x14:conditionalFormatting>
        <x14:conditionalFormatting xmlns:xm="http://schemas.microsoft.com/office/excel/2006/main">
          <x14:cfRule type="expression" priority="6" id="{10D13D45-7045-4657-9CA2-752D0924AA8A}">
            <xm:f>'Ranking Summary'!$C$3="Yes"</xm:f>
            <x14:dxf>
              <font>
                <color theme="0"/>
              </font>
              <fill>
                <patternFill>
                  <bgColor rgb="FF318DCC"/>
                </patternFill>
              </fill>
            </x14:dxf>
          </x14:cfRule>
          <xm:sqref>K5:O5</xm:sqref>
        </x14:conditionalFormatting>
        <x14:conditionalFormatting xmlns:xm="http://schemas.microsoft.com/office/excel/2006/main">
          <x14:cfRule type="expression" priority="5" id="{E2D906CF-7B0C-4679-B66B-46C8F70B04B9}">
            <xm:f>'Ranking Summary'!$C$3="Yes"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K9:O19</xm:sqref>
        </x14:conditionalFormatting>
        <x14:conditionalFormatting xmlns:xm="http://schemas.microsoft.com/office/excel/2006/main">
          <x14:cfRule type="expression" priority="4" id="{6E86F981-20BB-43F1-8F6C-3119AAA60902}">
            <xm:f>'Ranking Summary'!$C$3="Yes"</xm:f>
            <x14:dxf>
              <font>
                <color theme="0"/>
              </font>
              <fill>
                <patternFill>
                  <bgColor rgb="FF712339"/>
                </patternFill>
              </fill>
            </x14:dxf>
          </x14:cfRule>
          <xm:sqref>K20:O21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A0DC-D535-474D-8AB7-34D372DD5B74}">
  <dimension ref="D1:J11"/>
  <sheetViews>
    <sheetView showGridLines="0" tabSelected="1" zoomScaleNormal="100" workbookViewId="0">
      <selection activeCell="I14" sqref="I14"/>
    </sheetView>
  </sheetViews>
  <sheetFormatPr defaultRowHeight="14.5" x14ac:dyDescent="0.35"/>
  <cols>
    <col min="4" max="4" width="45.54296875" hidden="1" customWidth="1"/>
    <col min="5" max="5" width="13.1796875" hidden="1" customWidth="1"/>
    <col min="6" max="6" width="15.7265625" hidden="1" customWidth="1"/>
    <col min="7" max="7" width="9.1796875" hidden="1" customWidth="1"/>
    <col min="8" max="8" width="45.54296875" customWidth="1"/>
    <col min="9" max="9" width="13.7265625" customWidth="1"/>
    <col min="10" max="10" width="15.7265625" customWidth="1"/>
  </cols>
  <sheetData>
    <row r="1" spans="4:10" ht="26" x14ac:dyDescent="0.6">
      <c r="D1" s="163" t="s">
        <v>69</v>
      </c>
      <c r="E1" s="163"/>
      <c r="F1" s="163"/>
      <c r="G1" s="163"/>
      <c r="H1" s="163"/>
      <c r="I1" s="163"/>
      <c r="J1" s="163"/>
    </row>
    <row r="3" spans="4:10" ht="19" thickBot="1" x14ac:dyDescent="0.5">
      <c r="D3" s="176" t="s">
        <v>48</v>
      </c>
      <c r="E3" s="176"/>
      <c r="F3" s="176"/>
      <c r="H3" s="176" t="s">
        <v>45</v>
      </c>
      <c r="I3" s="176"/>
      <c r="J3" s="176"/>
    </row>
    <row r="4" spans="4:10" x14ac:dyDescent="0.35">
      <c r="D4" s="170" t="s">
        <v>68</v>
      </c>
      <c r="E4" s="171"/>
      <c r="F4" s="172"/>
      <c r="H4" s="173" t="s">
        <v>68</v>
      </c>
      <c r="I4" s="174"/>
      <c r="J4" s="175"/>
    </row>
    <row r="5" spans="4:10" s="134" customFormat="1" ht="15" thickBot="1" x14ac:dyDescent="0.4">
      <c r="D5" s="164" t="str">
        <f>"Number of AHCCCS E/PD Offerors Statewide = " &amp;'Scores Statewide'!H4</f>
        <v>Number of AHCCCS E/PD Offerors Statewide = 5</v>
      </c>
      <c r="E5" s="165"/>
      <c r="F5" s="166"/>
      <c r="H5" s="167" t="str">
        <f>"Number of AHCCCS E/PD Offerors Statewide = " &amp;'Scores Statewide'!H4</f>
        <v>Number of AHCCCS E/PD Offerors Statewide = 5</v>
      </c>
      <c r="I5" s="168"/>
      <c r="J5" s="169"/>
    </row>
    <row r="6" spans="4:10" ht="29.5" thickBot="1" x14ac:dyDescent="0.4">
      <c r="D6" s="149" t="s">
        <v>70</v>
      </c>
      <c r="E6" s="43" t="s">
        <v>10</v>
      </c>
      <c r="F6" s="129" t="s">
        <v>11</v>
      </c>
      <c r="H6" s="150" t="s">
        <v>70</v>
      </c>
      <c r="I6" s="69" t="s">
        <v>10</v>
      </c>
      <c r="J6" s="139" t="s">
        <v>11</v>
      </c>
    </row>
    <row r="7" spans="4:10" x14ac:dyDescent="0.35">
      <c r="D7" s="65" t="str">
        <f>_xlfn.XLOOKUP(E7&amp;"-"&amp;COUNTIF($E$7:E7,E7),'Overall Points All Offerors'!$E$23:$I$23,'Overall Points All Offerors'!$E$5:$I$5)</f>
        <v>ARIZONA PHYSICIANS IPA, INC.</v>
      </c>
      <c r="E7" s="131" cm="1">
        <f t="array" ref="E7">LARGE('Overall Points All Offerors'!$E$20:$I$20,ROW(1:1))</f>
        <v>638</v>
      </c>
      <c r="F7" s="130">
        <f>IF(E7=0,"",RANK(E7,$E$7:$E$11,0))</f>
        <v>1</v>
      </c>
      <c r="H7" s="140" t="str">
        <f>IF('Ranking Summary'!$C$3&lt;&gt;"Yes",'Overall Points All Offerors'!K5,_xlfn.XLOOKUP(I7&amp;"-"&amp;COUNTIF($I$7:I7,I7),'Overall Points All Offerors'!$K$23:$O$23,'Overall Points All Offerors'!$K$5:$O$5))</f>
        <v>HEALTH NET ACCESS</v>
      </c>
      <c r="I7" s="141" cm="1">
        <f t="array" ref="I7">IF('Ranking Summary'!$C$3&lt;&gt;"Yes","",LARGE('Overall Points All Offerors'!$K$20:$O$20,ROW(1:1)))</f>
        <v>715</v>
      </c>
      <c r="J7" s="142">
        <f>IF(OR(I7="",I7=0),"",RANK(I7,$I$7:$I$11,0))</f>
        <v>1</v>
      </c>
    </row>
    <row r="8" spans="4:10" x14ac:dyDescent="0.35">
      <c r="D8" s="66" t="str">
        <f>_xlfn.XLOOKUP(E8&amp;"-"&amp;COUNTIF($E$7:E8,E8),'Overall Points All Offerors'!$E$23:$I$23,'Overall Points All Offerors'!$E$5:$I$5)</f>
        <v>HEALTH NET ACCESS</v>
      </c>
      <c r="E8" s="132" cm="1">
        <f t="array" ref="E8">LARGE('Overall Points All Offerors'!$E$20:$I$20,ROW(2:2))</f>
        <v>615</v>
      </c>
      <c r="F8" s="135">
        <f t="shared" ref="F8:F11" si="0">IF(E8=0,"",RANK(E8,$E$7:$E$11,0))</f>
        <v>2</v>
      </c>
      <c r="H8" s="143" t="str">
        <f>IF('Ranking Summary'!$C$3&lt;&gt;"Yes",'Overall Points All Offerors'!L5,_xlfn.XLOOKUP(I8&amp;"-"&amp;COUNTIF($I$7:I8,I8),'Overall Points All Offerors'!$K$23:$O$23,'Overall Points All Offerors'!$K$5:$O$5))</f>
        <v>ARIZONA PHYSICIANS IPA, INC.</v>
      </c>
      <c r="I8" s="144" cm="1">
        <f t="array" ref="I8">IF('Ranking Summary'!$C$3&lt;&gt;"Yes","",LARGE('Overall Points All Offerors'!$K$20:$O$20,ROW(2:2)))</f>
        <v>668</v>
      </c>
      <c r="J8" s="145">
        <f>IF(OR(I8="",I8=0),"",RANK(I8,$I$7:$I$11,0))</f>
        <v>2</v>
      </c>
    </row>
    <row r="9" spans="4:10" x14ac:dyDescent="0.35">
      <c r="D9" s="66" t="str">
        <f>_xlfn.XLOOKUP(E9&amp;"-"&amp;COUNTIF($E$7:E9,E9),'Overall Points All Offerors'!$E$23:$I$23,'Overall Points All Offerors'!$E$5:$I$5)</f>
        <v>BANNER-UNIVERSITY CARE ADVANTAGE</v>
      </c>
      <c r="E9" s="132" cm="1">
        <f t="array" ref="E9">LARGE('Overall Points All Offerors'!$E$20:$I$20,ROW(3:3))</f>
        <v>492.5</v>
      </c>
      <c r="F9" s="135">
        <f t="shared" si="0"/>
        <v>3</v>
      </c>
      <c r="H9" s="143" t="str">
        <f>IF('Ranking Summary'!$C$3&lt;&gt;"Yes",'Overall Points All Offerors'!M5,_xlfn.XLOOKUP(I9&amp;"-"&amp;COUNTIF($I$7:I9,I9),'Overall Points All Offerors'!$K$23:$O$23,'Overall Points All Offerors'!$K$5:$O$5))</f>
        <v>MERCY CARE</v>
      </c>
      <c r="I9" s="144" cm="1">
        <f t="array" ref="I9">IF('Ranking Summary'!$C$3&lt;&gt;"Yes","",LARGE('Overall Points All Offerors'!$K$20:$O$20,ROW(3:3)))</f>
        <v>557.5</v>
      </c>
      <c r="J9" s="145">
        <f>IF(OR(I9="",I9=0),"",RANK(I9,$I$7:$I$11,0))</f>
        <v>3</v>
      </c>
    </row>
    <row r="10" spans="4:10" x14ac:dyDescent="0.35">
      <c r="D10" s="66" t="str">
        <f>_xlfn.XLOOKUP(E10&amp;"-"&amp;COUNTIF($E$7:E10,E10),'Overall Points All Offerors'!$E$23:$I$23,'Overall Points All Offerors'!$E$5:$I$5)</f>
        <v>MERCY CARE</v>
      </c>
      <c r="E10" s="132" cm="1">
        <f t="array" ref="E10">LARGE('Overall Points All Offerors'!$E$20:$I$20,ROW(4:4))</f>
        <v>477.5</v>
      </c>
      <c r="F10" s="135">
        <f t="shared" si="0"/>
        <v>4</v>
      </c>
      <c r="H10" s="143" t="str">
        <f>IF('Ranking Summary'!$C$3&lt;&gt;"Yes",'Overall Points All Offerors'!N5,_xlfn.XLOOKUP(I10&amp;"-"&amp;COUNTIF($I$7:I10,I10),'Overall Points All Offerors'!$K$23:$O$23,'Overall Points All Offerors'!$K$5:$O$5))</f>
        <v>BCBSAZ HEALTH CHOICE</v>
      </c>
      <c r="I10" s="144" cm="1">
        <f t="array" ref="I10">IF('Ranking Summary'!$C$3&lt;&gt;"Yes","",LARGE('Overall Points All Offerors'!$K$20:$O$20,ROW(4:4)))</f>
        <v>537</v>
      </c>
      <c r="J10" s="145">
        <f>IF(OR(I10="",I10=0),"",RANK(I10,$I$7:$I$11,0))</f>
        <v>4</v>
      </c>
    </row>
    <row r="11" spans="4:10" ht="15" thickBot="1" x14ac:dyDescent="0.4">
      <c r="D11" s="67" t="str">
        <f>_xlfn.XLOOKUP(E11&amp;"-"&amp;COUNTIF($E$7:E11,E11),'Overall Points All Offerors'!$E$23:$I$23,'Overall Points All Offerors'!$E$5:$I$5)</f>
        <v>BCBSAZ HEALTH CHOICE</v>
      </c>
      <c r="E11" s="133" cm="1">
        <f t="array" ref="E11">LARGE('Overall Points All Offerors'!$E$20:$I$20,ROW(5:5))</f>
        <v>477</v>
      </c>
      <c r="F11" s="136">
        <f t="shared" si="0"/>
        <v>5</v>
      </c>
      <c r="H11" s="146" t="str">
        <f>IF('Ranking Summary'!$C$3&lt;&gt;"Yes",'Overall Points All Offerors'!O5,_xlfn.XLOOKUP(I11&amp;"-"&amp;COUNTIF($I$7:I11,I11),'Overall Points All Offerors'!$K$23:$O$23,'Overall Points All Offerors'!$K$5:$O$5))</f>
        <v>BANNER-UNIVERSITY CARE ADVANTAGE</v>
      </c>
      <c r="I11" s="147" cm="1">
        <f t="array" ref="I11">IF('Ranking Summary'!$C$3&lt;&gt;"Yes","",LARGE('Overall Points All Offerors'!$K$20:$O$20,ROW(5:5)))</f>
        <v>522.5</v>
      </c>
      <c r="J11" s="148">
        <f>IF(OR(I11="",I11=0),"",RANK(I11,$I$7:$I$11,0))</f>
        <v>5</v>
      </c>
    </row>
  </sheetData>
  <sheetProtection algorithmName="SHA-512" hashValue="Kvx2UcDOyE3Gsbwj+9pnENk4dAnj/y8kVKhXAbJZsi0F7Of0diuAuDFRXeIs+2LF+z0J51yuA6I5XwPP4v22/w==" saltValue="hQsYXETbpPQyBxMZixQItw==" spinCount="100000" sheet="1" objects="1" scenarios="1"/>
  <mergeCells count="7">
    <mergeCell ref="D1:J1"/>
    <mergeCell ref="D5:F5"/>
    <mergeCell ref="H5:J5"/>
    <mergeCell ref="D4:F4"/>
    <mergeCell ref="H4:J4"/>
    <mergeCell ref="D3:F3"/>
    <mergeCell ref="H3:J3"/>
  </mergeCells>
  <conditionalFormatting sqref="D7:F11">
    <cfRule type="expression" dxfId="45" priority="2">
      <formula>$D7="Offeror Withdrew"</formula>
    </cfRule>
  </conditionalFormatting>
  <conditionalFormatting sqref="H7:J11">
    <cfRule type="expression" dxfId="42" priority="1">
      <formula>$H7="Offeror Withdrew"</formula>
    </cfRule>
  </conditionalFormatting>
  <pageMargins left="0.7" right="0.7" top="0.75" bottom="0.75" header="0.3" footer="0.3"/>
  <pageSetup scale="8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228A0E-202E-4553-B92A-41AE3DA51165}">
            <xm:f>'Ranking Summary'!$C$3="Yes"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D4:F4 D5 D6:F11</xm:sqref>
        </x14:conditionalFormatting>
        <x14:conditionalFormatting xmlns:xm="http://schemas.microsoft.com/office/excel/2006/main">
          <x14:cfRule type="expression" priority="6" id="{4A9CF6C9-FA99-491D-99DB-4B6400FF7D1A}">
            <xm:f>'Ranking Summary'!$C$3="Yes"</xm:f>
            <x14:dxf>
              <font>
                <color theme="0"/>
              </font>
              <fill>
                <patternFill>
                  <bgColor rgb="FF318DCC"/>
                </patternFill>
              </fill>
            </x14:dxf>
          </x14:cfRule>
          <xm:sqref>H4:J5</xm:sqref>
        </x14:conditionalFormatting>
        <x14:conditionalFormatting xmlns:xm="http://schemas.microsoft.com/office/excel/2006/main">
          <x14:cfRule type="expression" priority="5" id="{F28678E7-A5E8-4E17-8F32-6FB1916FC942}">
            <xm:f>'Ranking Summary'!$C$3="Yes"</xm:f>
            <x14:dxf>
              <font>
                <color theme="0"/>
              </font>
              <fill>
                <patternFill>
                  <bgColor rgb="FF712339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4" id="{D4C33034-085E-4761-AC2B-FE4809674300}">
            <xm:f>'Ranking Summary'!$C$3="Yes"</xm:f>
            <x14:dxf>
              <fill>
                <patternFill patternType="none">
                  <bgColor auto="1"/>
                </patternFill>
              </fill>
            </x14:dxf>
          </x14:cfRule>
          <xm:sqref>H7:J11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PP ACC Final Score by GSA</vt:lpstr>
      <vt:lpstr>Ranking Summary</vt:lpstr>
      <vt:lpstr>Scores Statewide</vt:lpstr>
      <vt:lpstr>Ranking Summary All Offerors</vt:lpstr>
      <vt:lpstr>Overall Points All Offerors</vt:lpstr>
      <vt:lpstr>Overall Final Score</vt:lpstr>
      <vt:lpstr>'Overall Final Score'!Print_Area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Hoser, Kenneth</dc:creator>
  <cp:lastModifiedBy>Ambur, Julie</cp:lastModifiedBy>
  <cp:lastPrinted>2023-11-20T15:00:20Z</cp:lastPrinted>
  <dcterms:created xsi:type="dcterms:W3CDTF">2021-06-11T13:51:07Z</dcterms:created>
  <dcterms:modified xsi:type="dcterms:W3CDTF">2023-11-20T15:01:31Z</dcterms:modified>
</cp:coreProperties>
</file>