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8572\Downloads\"/>
    </mc:Choice>
  </mc:AlternateContent>
  <xr:revisionPtr revIDLastSave="0" documentId="13_ncr:1_{DF594490-08F0-49F9-ADED-6BD8D1F77264}" xr6:coauthVersionLast="47" xr6:coauthVersionMax="47" xr10:uidLastSave="{00000000-0000-0000-0000-000000000000}"/>
  <bookViews>
    <workbookView xWindow="67080" yWindow="-1185" windowWidth="38640" windowHeight="21120" xr2:uid="{00000000-000D-0000-FFFF-FFFF00000000}"/>
  </bookViews>
  <sheets>
    <sheet name="Reconciliation Calculation" sheetId="1" r:id="rId1"/>
  </sheets>
  <externalReferences>
    <externalReference r:id="rId2"/>
  </externalReferences>
  <definedNames>
    <definedName name="Bound">[1]Inputs!$B$6</definedName>
    <definedName name="ReconPercent">[1]Inputs!$B$4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B21" i="1"/>
  <c r="B12" i="1"/>
  <c r="B14" i="1" s="1"/>
  <c r="B26" i="1" s="1"/>
  <c r="C10" i="1"/>
  <c r="B10" i="1"/>
  <c r="D9" i="1" l="1"/>
  <c r="D28" i="1" l="1"/>
  <c r="D23" i="1"/>
  <c r="D20" i="1"/>
  <c r="D19" i="1"/>
  <c r="D18" i="1"/>
  <c r="D11" i="1"/>
  <c r="D8" i="1"/>
  <c r="D7" i="1" l="1"/>
  <c r="C12" i="1"/>
  <c r="C14" i="1" s="1"/>
  <c r="D6" i="1"/>
  <c r="D5" i="1"/>
  <c r="D10" i="1"/>
  <c r="D17" i="1"/>
  <c r="D21" i="1" s="1"/>
  <c r="B27" i="1" l="1"/>
  <c r="C26" i="1"/>
  <c r="C27" i="1" s="1"/>
  <c r="D12" i="1"/>
  <c r="D14" i="1" s="1"/>
  <c r="D26" i="1" l="1"/>
  <c r="B33" i="1" s="1"/>
  <c r="B32" i="1" l="1"/>
  <c r="D27" i="1"/>
  <c r="G47" i="1" l="1"/>
  <c r="B34" i="1"/>
  <c r="G56" i="1"/>
  <c r="D47" i="1" l="1"/>
  <c r="E47" i="1" s="1"/>
  <c r="D56" i="1"/>
  <c r="E56" i="1" s="1"/>
  <c r="G57" i="1" l="1"/>
  <c r="D57" i="1" s="1"/>
  <c r="E57" i="1" s="1"/>
  <c r="G48" i="1"/>
  <c r="D48" i="1" s="1"/>
  <c r="E48" i="1" s="1"/>
  <c r="G49" i="1" l="1"/>
  <c r="D49" i="1" s="1"/>
  <c r="E49" i="1" s="1"/>
  <c r="B38" i="1" s="1"/>
  <c r="B42" i="1" l="1"/>
  <c r="B43" i="1" s="1"/>
</calcChain>
</file>

<file path=xl/sharedStrings.xml><?xml version="1.0" encoding="utf-8"?>
<sst xmlns="http://schemas.openxmlformats.org/spreadsheetml/2006/main" count="58" uniqueCount="54">
  <si>
    <t>TOTAL</t>
  </si>
  <si>
    <t>Capitation</t>
  </si>
  <si>
    <t>Prospective Capitation</t>
  </si>
  <si>
    <t>Less: Administrative Component</t>
  </si>
  <si>
    <t>Less: Premium Tax Component</t>
  </si>
  <si>
    <t xml:space="preserve">Net Capitation </t>
  </si>
  <si>
    <t>Expense</t>
  </si>
  <si>
    <t>Medical Expense</t>
  </si>
  <si>
    <t>Medical Expense Completion</t>
  </si>
  <si>
    <t>Less: CN1 Code 05 Encounters</t>
  </si>
  <si>
    <t>Net Medical Expense</t>
  </si>
  <si>
    <t>Reinsurance (RI) Payments</t>
  </si>
  <si>
    <t>Profit/(Loss) % of  Net Capitation</t>
  </si>
  <si>
    <t>Member Months</t>
  </si>
  <si>
    <t>Settlement</t>
  </si>
  <si>
    <t>Total Profit/(Loss) to be Reconciled</t>
  </si>
  <si>
    <t>Profit/(Loss) % of Net Capitation</t>
  </si>
  <si>
    <t>Amount Due to (from) Contractor:</t>
  </si>
  <si>
    <t>Premium Tax</t>
  </si>
  <si>
    <t>Net Amount Due to (from) Contractor:</t>
  </si>
  <si>
    <t>Amount</t>
  </si>
  <si>
    <t>Recon Amount Due to/From Calculation</t>
  </si>
  <si>
    <t>Excess Profit</t>
  </si>
  <si>
    <t>Recoup. %</t>
  </si>
  <si>
    <t>Overpaid</t>
  </si>
  <si>
    <t>Recoupment</t>
  </si>
  <si>
    <t>Calcs</t>
  </si>
  <si>
    <t>&lt;=2%</t>
  </si>
  <si>
    <t>2% &lt; x &lt;= 6%</t>
  </si>
  <si>
    <t xml:space="preserve"> x &gt; 6%</t>
  </si>
  <si>
    <t xml:space="preserve">Amount </t>
  </si>
  <si>
    <t>Excess Loss</t>
  </si>
  <si>
    <t>Underpaid</t>
  </si>
  <si>
    <t>Reimburse</t>
  </si>
  <si>
    <t>&gt; 2%</t>
  </si>
  <si>
    <t>Assumptions:</t>
  </si>
  <si>
    <t>3) Reinsurance Payments are based on actual reinsurance payments for dates of service within the reconciliation time frame.</t>
  </si>
  <si>
    <t>Less: Case Management Component</t>
  </si>
  <si>
    <t>1) Total Capitation includes PPC and Prospective Capitation paid for dates of service within the reconciliation time frame.</t>
  </si>
  <si>
    <t>Other Adjustments:</t>
  </si>
  <si>
    <t xml:space="preserve">2) Medical Expenses include all PPC and Prospective fully adjudicated and approved  encounters for dates of service within the reconciliation time frame.  </t>
  </si>
  <si>
    <t>DUAL</t>
  </si>
  <si>
    <t>NON-DUAL</t>
  </si>
  <si>
    <t>Less: Pharmacy Benefit Manager Component (CYE 20 Only)</t>
  </si>
  <si>
    <t xml:space="preserve">Less: Alternative Payment Model Withhold </t>
  </si>
  <si>
    <r>
      <t xml:space="preserve">Profit/(Loss) to be Reconciled  </t>
    </r>
    <r>
      <rPr>
        <sz val="11"/>
        <color theme="0"/>
        <rFont val="Calibri"/>
        <family val="2"/>
        <scheme val="minor"/>
      </rPr>
      <t>= (Net Cap - Net Exp + RI Pmt)</t>
    </r>
  </si>
  <si>
    <t>Net Capitation (Net of Administrative Component, Case Management Component, PBM Component, Alternative Payment Model Withhold, HIPF Capitation Adjustment, and Premium Tax Component)</t>
  </si>
  <si>
    <t>Less:  Health Insurance Provider Fee (HIPF) Capitation Adjustment (CYE 20 and Prior)</t>
  </si>
  <si>
    <t xml:space="preserve">4)  The administrative  and Case Management PMPM component will be the amount built into the cap rates.  </t>
  </si>
  <si>
    <t xml:space="preserve">6) All encounters with CN 1 code of 05 &gt; $0 have been excluded from this reconciliation. </t>
  </si>
  <si>
    <t>Plus: Medical Sub-Capitated/Block Purchase Expense</t>
  </si>
  <si>
    <t xml:space="preserve">5) Medical Sub-Capitated/Block Purchase expenses are self reported from Quarterly Financial statements or final audits. </t>
  </si>
  <si>
    <t xml:space="preserve">  All COVID-19 vaccine and vaccine administration amounts for CYE 22, CYE 23, and CYE 24 will be removed since these will be cost settled in accordance with ACOM Policy 302.</t>
  </si>
  <si>
    <t>Prior Period Coverage (PPC) Capitation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</si>
</sst>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_(* #,##0_);_(* \(#,##0\);_(* &quot;-&quot;??_);_(@_)"/>
    <numFmt numFmtId="166" formatCode="_(&quot;$&quot;* #,##0.000_);_(&quot;$&quot;* \(#,##0.000\);_(&quot;$&quot;* &quot;-&quot;??_);_(@_)"/>
    <numFmt numFmtId="167" formatCode="_(&quot;$&quot;* #,##0.0000000_);_(&quot;$&quot;* \(#,##0.0000000\);_(&quot;$&quot;* &quot;-&quot;??_);_(@_)"/>
    <numFmt numFmtId="168" formatCode="_(&quot;$&quot;* #,##0_);_(&quot;$&quot;* \(#,##0\);_(&quot;$&quot;* &quot;-&quot;??_);_(@_)"/>
    <numFmt numFmtId="169" formatCode="&quot;$&quot;#,##0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strike/>
      <sz val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trike/>
      <sz val="12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trike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6999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5" fillId="0" borderId="0" xfId="0" applyFont="1"/>
    <xf numFmtId="44" fontId="5" fillId="0" borderId="0" xfId="0" applyNumberFormat="1" applyFont="1"/>
    <xf numFmtId="0" fontId="6" fillId="0" borderId="0" xfId="0" applyFont="1"/>
    <xf numFmtId="44" fontId="3" fillId="0" borderId="0" xfId="0" applyNumberFormat="1" applyFont="1"/>
    <xf numFmtId="44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/>
    <xf numFmtId="16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 indent="1"/>
    </xf>
    <xf numFmtId="44" fontId="11" fillId="0" borderId="0" xfId="0" applyNumberFormat="1" applyFont="1"/>
    <xf numFmtId="0" fontId="11" fillId="0" borderId="0" xfId="0" quotePrefix="1" applyFont="1" applyAlignment="1">
      <alignment horizontal="left" indent="1"/>
    </xf>
    <xf numFmtId="44" fontId="11" fillId="0" borderId="1" xfId="0" applyNumberFormat="1" applyFont="1" applyBorder="1"/>
    <xf numFmtId="44" fontId="10" fillId="0" borderId="0" xfId="0" applyNumberFormat="1" applyFont="1"/>
    <xf numFmtId="10" fontId="11" fillId="0" borderId="0" xfId="3" applyNumberFormat="1" applyFont="1" applyFill="1"/>
    <xf numFmtId="165" fontId="11" fillId="0" borderId="0" xfId="3" applyNumberFormat="1" applyFont="1" applyFill="1"/>
    <xf numFmtId="44" fontId="11" fillId="0" borderId="0" xfId="2" applyFont="1" applyFill="1" applyBorder="1"/>
    <xf numFmtId="10" fontId="11" fillId="0" borderId="0" xfId="3" applyNumberFormat="1" applyFont="1" applyFill="1" applyBorder="1"/>
    <xf numFmtId="0" fontId="11" fillId="0" borderId="0" xfId="0" quotePrefix="1" applyFont="1" applyAlignment="1">
      <alignment horizontal="left"/>
    </xf>
    <xf numFmtId="165" fontId="11" fillId="0" borderId="0" xfId="1" applyNumberFormat="1" applyFont="1" applyFill="1"/>
    <xf numFmtId="166" fontId="11" fillId="0" borderId="0" xfId="2" applyNumberFormat="1" applyFont="1" applyFill="1"/>
    <xf numFmtId="0" fontId="10" fillId="0" borderId="0" xfId="0" applyFont="1" applyAlignment="1">
      <alignment wrapText="1"/>
    </xf>
    <xf numFmtId="167" fontId="11" fillId="0" borderId="0" xfId="0" applyNumberFormat="1" applyFont="1"/>
    <xf numFmtId="44" fontId="11" fillId="0" borderId="2" xfId="0" applyNumberFormat="1" applyFont="1" applyBorder="1"/>
    <xf numFmtId="0" fontId="11" fillId="0" borderId="0" xfId="0" applyFont="1" applyAlignment="1">
      <alignment horizontal="center"/>
    </xf>
    <xf numFmtId="9" fontId="11" fillId="0" borderId="0" xfId="0" applyNumberFormat="1" applyFont="1"/>
    <xf numFmtId="9" fontId="11" fillId="0" borderId="0" xfId="3" applyFont="1" applyFill="1" applyBorder="1"/>
    <xf numFmtId="168" fontId="11" fillId="0" borderId="0" xfId="2" applyNumberFormat="1" applyFont="1" applyFill="1"/>
    <xf numFmtId="168" fontId="11" fillId="0" borderId="0" xfId="0" applyNumberFormat="1" applyFont="1"/>
    <xf numFmtId="169" fontId="11" fillId="0" borderId="0" xfId="2" applyNumberFormat="1" applyFont="1" applyFill="1" applyBorder="1" applyAlignment="1">
      <alignment horizontal="center"/>
    </xf>
    <xf numFmtId="0" fontId="10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6" xfId="0" quotePrefix="1" applyFont="1" applyBorder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8" xfId="0" quotePrefix="1" applyFont="1" applyBorder="1" applyAlignment="1">
      <alignment horizontal="left" vertical="top"/>
    </xf>
    <xf numFmtId="0" fontId="14" fillId="0" borderId="9" xfId="0" applyFont="1" applyBorder="1"/>
    <xf numFmtId="0" fontId="14" fillId="0" borderId="10" xfId="0" applyFont="1" applyBorder="1"/>
    <xf numFmtId="0" fontId="11" fillId="0" borderId="0" xfId="0" quotePrefix="1" applyFont="1" applyAlignment="1">
      <alignment horizontal="left" wrapText="1"/>
    </xf>
    <xf numFmtId="0" fontId="15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44" fontId="12" fillId="2" borderId="0" xfId="0" applyNumberFormat="1" applyFont="1" applyFill="1" applyAlignment="1">
      <alignment horizontal="left"/>
    </xf>
  </cellXfs>
  <cellStyles count="8">
    <cellStyle name="Comma" xfId="1" builtinId="3"/>
    <cellStyle name="Comma 2" xfId="4" xr:uid="{00000000-0005-0000-0000-000001000000}"/>
    <cellStyle name="Currency" xfId="2" builtinId="4"/>
    <cellStyle name="Currency 2" xfId="5" xr:uid="{00000000-0005-0000-0000-000003000000}"/>
    <cellStyle name="Normal" xfId="0" builtinId="0"/>
    <cellStyle name="Normal 2" xfId="6" xr:uid="{00000000-0005-0000-0000-000005000000}"/>
    <cellStyle name="Percent" xfId="3" builtinId="5"/>
    <cellStyle name="Percent 2" xfId="7" xr:uid="{00000000-0005-0000-0000-000007000000}"/>
  </cellStyles>
  <dxfs count="0"/>
  <tableStyles count="0" defaultTableStyle="TableStyleMedium2" defaultPivotStyle="PivotStyleLight16"/>
  <colors>
    <mruColors>
      <color rgb="FF369992"/>
      <color rgb="FF2F8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ial/Acute/CY12%20Cap%20Development/Cognos/Recons/2010/ProsRecon2010%20w%20Upd%20RI%20and%20Admin%20@%20bid%20Dynamic%20TX%20Model%20Rev%2007-14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Inputs"/>
      <sheetName val="Condensed Summary"/>
      <sheetName val="Admin %"/>
      <sheetName val="Overall Summary"/>
      <sheetName val="APIPASummary"/>
      <sheetName val="APIPADetail"/>
      <sheetName val="Care1stSummary"/>
      <sheetName val="Care1stDetail"/>
      <sheetName val="BridgewaySummary"/>
      <sheetName val="BridgewayDetail"/>
      <sheetName val="HCASummary"/>
      <sheetName val="HCADetail"/>
      <sheetName val="MaricopaSummary"/>
      <sheetName val="MaricopaDetail"/>
      <sheetName val="MercySummary"/>
      <sheetName val="MercyDetail"/>
      <sheetName val="PHPSummary"/>
      <sheetName val="PHPDetail"/>
      <sheetName val="PimaSummary"/>
      <sheetName val="PimaDetail"/>
      <sheetName val="UFCSummary"/>
      <sheetName val="UFCDetail"/>
    </sheetNames>
    <sheetDataSet>
      <sheetData sheetId="0" refreshError="1"/>
      <sheetData sheetId="1" refreshError="1">
        <row r="4">
          <cell r="B4">
            <v>0.02</v>
          </cell>
        </row>
        <row r="6">
          <cell r="B6" t="str">
            <v>yes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tabSelected="1" view="pageLayout" topLeftCell="A2" zoomScale="90" zoomScaleNormal="75" zoomScalePageLayoutView="90" workbookViewId="0">
      <selection activeCell="A55" sqref="A55"/>
    </sheetView>
  </sheetViews>
  <sheetFormatPr defaultColWidth="9.1796875" defaultRowHeight="10" x14ac:dyDescent="0.2"/>
  <cols>
    <col min="1" max="1" width="84.81640625" style="1" customWidth="1"/>
    <col min="2" max="2" width="22" style="1" bestFit="1" customWidth="1"/>
    <col min="3" max="3" width="21.81640625" style="1" customWidth="1"/>
    <col min="4" max="4" width="22.54296875" style="1" bestFit="1" customWidth="1"/>
    <col min="5" max="5" width="20.54296875" style="1" bestFit="1" customWidth="1"/>
    <col min="6" max="6" width="13" style="1" customWidth="1"/>
    <col min="7" max="7" width="15.453125" style="1" bestFit="1" customWidth="1"/>
    <col min="8" max="8" width="13.7265625" style="1" customWidth="1"/>
    <col min="9" max="9" width="15.7265625" style="1" bestFit="1" customWidth="1"/>
    <col min="10" max="10" width="14.26953125" style="1" bestFit="1" customWidth="1"/>
    <col min="11" max="11" width="13.81640625" style="1" bestFit="1" customWidth="1"/>
    <col min="12" max="12" width="11.54296875" style="1" bestFit="1" customWidth="1"/>
    <col min="13" max="13" width="12.81640625" style="1" bestFit="1" customWidth="1"/>
    <col min="14" max="14" width="10.7265625" style="1" bestFit="1" customWidth="1"/>
    <col min="15" max="16384" width="9.1796875" style="1"/>
  </cols>
  <sheetData>
    <row r="1" spans="1:14" ht="14.15" hidden="1" customHeight="1" x14ac:dyDescent="0.2">
      <c r="A1" s="40"/>
      <c r="B1" s="41"/>
      <c r="C1" s="41"/>
      <c r="D1" s="41"/>
    </row>
    <row r="2" spans="1:14" ht="24" customHeight="1" x14ac:dyDescent="0.35">
      <c r="A2" s="46"/>
      <c r="B2" s="47" t="s">
        <v>41</v>
      </c>
      <c r="C2" s="47" t="s">
        <v>42</v>
      </c>
      <c r="D2" s="47" t="s">
        <v>0</v>
      </c>
      <c r="E2" s="10"/>
      <c r="F2" s="10"/>
      <c r="G2" s="10"/>
      <c r="H2" s="10"/>
      <c r="I2" s="10"/>
      <c r="J2" s="10"/>
      <c r="K2"/>
    </row>
    <row r="3" spans="1:14" ht="14.5" x14ac:dyDescent="0.35">
      <c r="A3" s="11"/>
      <c r="B3" s="12"/>
      <c r="C3" s="12"/>
      <c r="D3" s="12"/>
      <c r="E3" s="10"/>
      <c r="F3" s="10"/>
      <c r="G3" s="10"/>
      <c r="H3" s="10"/>
      <c r="I3" s="10"/>
      <c r="J3" s="10"/>
      <c r="K3"/>
    </row>
    <row r="4" spans="1:14" ht="14.5" x14ac:dyDescent="0.35">
      <c r="A4" s="11" t="s">
        <v>1</v>
      </c>
      <c r="B4" s="12"/>
      <c r="C4" s="12"/>
      <c r="D4" s="12"/>
      <c r="E4" s="10"/>
      <c r="F4" s="10"/>
      <c r="G4" s="10"/>
      <c r="H4" s="10"/>
      <c r="I4" s="10"/>
      <c r="J4" s="10"/>
      <c r="K4"/>
    </row>
    <row r="5" spans="1:14" ht="14.5" x14ac:dyDescent="0.35">
      <c r="A5" s="13" t="s">
        <v>2</v>
      </c>
      <c r="B5" s="14">
        <v>302296500</v>
      </c>
      <c r="C5" s="14">
        <v>162162000</v>
      </c>
      <c r="D5" s="14">
        <f>SUM(B5:C5)</f>
        <v>464458500</v>
      </c>
      <c r="E5" s="14"/>
      <c r="F5" s="10"/>
      <c r="G5" s="10"/>
      <c r="H5" s="10"/>
      <c r="I5" s="10"/>
      <c r="J5" s="10"/>
      <c r="K5"/>
    </row>
    <row r="6" spans="1:14" ht="14.5" x14ac:dyDescent="0.35">
      <c r="A6" s="13" t="s">
        <v>53</v>
      </c>
      <c r="B6" s="14">
        <v>3053500</v>
      </c>
      <c r="C6" s="14">
        <v>1638000</v>
      </c>
      <c r="D6" s="14">
        <f>SUM(B6:C6)</f>
        <v>4691500</v>
      </c>
      <c r="E6" s="14"/>
      <c r="F6" s="13"/>
      <c r="G6" s="10"/>
      <c r="H6" s="10"/>
      <c r="I6" s="10"/>
      <c r="J6" s="10"/>
      <c r="K6"/>
    </row>
    <row r="7" spans="1:14" ht="14.5" x14ac:dyDescent="0.35">
      <c r="A7" s="13" t="s">
        <v>3</v>
      </c>
      <c r="B7" s="14">
        <v>11327500</v>
      </c>
      <c r="C7" s="14">
        <v>6500000</v>
      </c>
      <c r="D7" s="14">
        <f t="shared" ref="D7:D20" si="0">SUM(B7:C7)</f>
        <v>17827500</v>
      </c>
      <c r="E7" s="14"/>
      <c r="F7" s="10"/>
      <c r="G7" s="10"/>
      <c r="H7" s="13"/>
      <c r="I7" s="10"/>
      <c r="J7" s="10"/>
      <c r="K7"/>
    </row>
    <row r="8" spans="1:14" ht="14.5" x14ac:dyDescent="0.35">
      <c r="A8" s="13" t="s">
        <v>37</v>
      </c>
      <c r="B8" s="14">
        <v>14775000</v>
      </c>
      <c r="C8" s="14">
        <v>3952000</v>
      </c>
      <c r="D8" s="14">
        <f t="shared" si="0"/>
        <v>18727000</v>
      </c>
      <c r="E8" s="10"/>
      <c r="F8" s="10"/>
      <c r="G8" s="10"/>
      <c r="H8" s="13"/>
      <c r="I8" s="10"/>
      <c r="J8" s="10"/>
      <c r="K8"/>
    </row>
    <row r="9" spans="1:14" ht="14.5" x14ac:dyDescent="0.35">
      <c r="A9" s="15" t="s">
        <v>43</v>
      </c>
      <c r="B9" s="14">
        <v>50255</v>
      </c>
      <c r="C9" s="14">
        <v>30627</v>
      </c>
      <c r="D9" s="14">
        <f t="shared" si="0"/>
        <v>80882</v>
      </c>
      <c r="E9" s="10"/>
      <c r="F9" s="14"/>
      <c r="G9" s="14"/>
      <c r="H9" s="13"/>
      <c r="I9" s="10"/>
      <c r="J9" s="10"/>
      <c r="K9"/>
    </row>
    <row r="10" spans="1:14" s="4" customFormat="1" ht="14.5" x14ac:dyDescent="0.35">
      <c r="A10" s="15" t="s">
        <v>44</v>
      </c>
      <c r="B10" s="14">
        <f>(B5)*0.01</f>
        <v>3022965</v>
      </c>
      <c r="C10" s="14">
        <f>(C5)*0.01</f>
        <v>1621620</v>
      </c>
      <c r="D10" s="14">
        <f t="shared" si="0"/>
        <v>4644585</v>
      </c>
      <c r="E10" s="10"/>
      <c r="F10" s="10"/>
      <c r="G10" s="10"/>
      <c r="H10" s="13"/>
      <c r="I10" s="10"/>
      <c r="J10" s="10"/>
      <c r="K10"/>
    </row>
    <row r="11" spans="1:14" ht="14.5" x14ac:dyDescent="0.35">
      <c r="A11" s="13" t="s">
        <v>47</v>
      </c>
      <c r="B11" s="14">
        <v>0</v>
      </c>
      <c r="C11" s="14">
        <v>0</v>
      </c>
      <c r="D11" s="14">
        <f t="shared" si="0"/>
        <v>0</v>
      </c>
      <c r="E11" s="10"/>
      <c r="F11" s="10"/>
      <c r="G11" s="10"/>
      <c r="H11" s="13"/>
      <c r="I11" s="10"/>
      <c r="J11" s="10"/>
      <c r="K11"/>
    </row>
    <row r="12" spans="1:14" ht="14.5" x14ac:dyDescent="0.35">
      <c r="A12" s="13" t="s">
        <v>4</v>
      </c>
      <c r="B12" s="16">
        <f>(B5+B6)*0.02</f>
        <v>6107000</v>
      </c>
      <c r="C12" s="16">
        <f>(C5+C6)*0.02</f>
        <v>3276000</v>
      </c>
      <c r="D12" s="16">
        <f t="shared" si="0"/>
        <v>9383000</v>
      </c>
      <c r="E12" s="10"/>
      <c r="F12" s="10"/>
      <c r="G12" s="10"/>
      <c r="H12" s="13"/>
      <c r="I12" s="10"/>
      <c r="J12" s="10"/>
      <c r="K12"/>
      <c r="L12" s="5"/>
      <c r="M12" s="5"/>
      <c r="N12" s="5"/>
    </row>
    <row r="13" spans="1:14" ht="14.5" x14ac:dyDescent="0.35">
      <c r="A13" s="13"/>
      <c r="B13" s="14"/>
      <c r="C13" s="14"/>
      <c r="D13" s="14"/>
      <c r="E13" s="10"/>
      <c r="F13" s="10"/>
      <c r="G13" s="10"/>
      <c r="H13" s="13"/>
      <c r="I13" s="10"/>
      <c r="J13" s="10"/>
      <c r="K13"/>
      <c r="L13" s="5"/>
      <c r="M13" s="5"/>
      <c r="N13" s="5"/>
    </row>
    <row r="14" spans="1:14" s="4" customFormat="1" ht="14.5" x14ac:dyDescent="0.35">
      <c r="A14" s="11" t="s">
        <v>5</v>
      </c>
      <c r="B14" s="14">
        <f>B5+B6-SUM(B7:B12)</f>
        <v>270067280</v>
      </c>
      <c r="C14" s="14">
        <f>C5+C6-SUM(C7:C12)</f>
        <v>148419753</v>
      </c>
      <c r="D14" s="14">
        <f>D5+D6-SUM(D7:D12)</f>
        <v>418487033</v>
      </c>
      <c r="E14" s="10"/>
      <c r="F14" s="10"/>
      <c r="G14" s="10"/>
      <c r="H14" s="11"/>
      <c r="I14" s="10"/>
      <c r="J14" s="10"/>
      <c r="K14"/>
      <c r="L14" s="6"/>
      <c r="M14" s="6"/>
      <c r="N14" s="6"/>
    </row>
    <row r="15" spans="1:14" ht="14.5" x14ac:dyDescent="0.35">
      <c r="A15" s="11"/>
      <c r="B15" s="10"/>
      <c r="C15" s="10"/>
      <c r="D15" s="10"/>
      <c r="E15" s="10"/>
      <c r="F15" s="10"/>
      <c r="G15" s="10"/>
      <c r="H15" s="10"/>
      <c r="I15" s="10"/>
      <c r="J15" s="10"/>
      <c r="K15"/>
      <c r="M15" s="5"/>
    </row>
    <row r="16" spans="1:14" ht="14.5" x14ac:dyDescent="0.35">
      <c r="A16" s="11" t="s">
        <v>6</v>
      </c>
      <c r="B16" s="10"/>
      <c r="C16" s="10"/>
      <c r="D16" s="10"/>
      <c r="E16" s="10"/>
      <c r="F16" s="10"/>
      <c r="G16" s="10"/>
      <c r="H16" s="10"/>
      <c r="I16" s="10"/>
      <c r="J16" s="10"/>
      <c r="K16"/>
    </row>
    <row r="17" spans="1:13" ht="14.5" x14ac:dyDescent="0.35">
      <c r="A17" s="13" t="s">
        <v>7</v>
      </c>
      <c r="B17" s="14">
        <v>251175000</v>
      </c>
      <c r="C17" s="14">
        <v>140400000</v>
      </c>
      <c r="D17" s="14">
        <f t="shared" si="0"/>
        <v>391575000</v>
      </c>
      <c r="E17" s="10"/>
      <c r="F17" s="10"/>
      <c r="G17" s="10"/>
      <c r="H17" s="10"/>
      <c r="I17" s="10"/>
      <c r="J17" s="10"/>
      <c r="K17"/>
    </row>
    <row r="18" spans="1:13" ht="14.5" x14ac:dyDescent="0.35">
      <c r="A18" s="13" t="s">
        <v>8</v>
      </c>
      <c r="B18" s="14">
        <v>0</v>
      </c>
      <c r="C18" s="14">
        <v>0</v>
      </c>
      <c r="D18" s="14">
        <f t="shared" si="0"/>
        <v>0</v>
      </c>
      <c r="E18" s="10"/>
      <c r="F18" s="10"/>
      <c r="G18" s="10"/>
      <c r="H18" s="10"/>
      <c r="I18" s="10"/>
      <c r="J18" s="10"/>
      <c r="K18"/>
    </row>
    <row r="19" spans="1:13" ht="14.5" x14ac:dyDescent="0.35">
      <c r="A19" s="13" t="s">
        <v>50</v>
      </c>
      <c r="B19" s="14">
        <v>5000000</v>
      </c>
      <c r="C19" s="14">
        <v>6500000</v>
      </c>
      <c r="D19" s="14">
        <f t="shared" si="0"/>
        <v>11500000</v>
      </c>
      <c r="E19" s="10"/>
      <c r="F19" s="10"/>
      <c r="G19" s="10"/>
      <c r="H19" s="10"/>
      <c r="I19" s="10"/>
      <c r="J19" s="10"/>
      <c r="K19"/>
      <c r="M19" s="5"/>
    </row>
    <row r="20" spans="1:13" ht="14.5" x14ac:dyDescent="0.35">
      <c r="A20" s="13" t="s">
        <v>9</v>
      </c>
      <c r="B20" s="16">
        <v>1500</v>
      </c>
      <c r="C20" s="16">
        <v>2500</v>
      </c>
      <c r="D20" s="16">
        <f t="shared" si="0"/>
        <v>4000</v>
      </c>
      <c r="E20" s="10"/>
      <c r="F20" s="10"/>
      <c r="G20" s="10"/>
      <c r="H20" s="10"/>
      <c r="I20" s="10"/>
      <c r="J20" s="10"/>
      <c r="K20"/>
      <c r="M20" s="5"/>
    </row>
    <row r="21" spans="1:13" ht="14.5" x14ac:dyDescent="0.35">
      <c r="A21" s="11" t="s">
        <v>10</v>
      </c>
      <c r="B21" s="14">
        <f>SUM(B17:B19)-B20</f>
        <v>256173500</v>
      </c>
      <c r="C21" s="14">
        <f>SUM(C17:C19)-C20</f>
        <v>146897500</v>
      </c>
      <c r="D21" s="14">
        <f>SUM(D17:D19)-D20</f>
        <v>403071000</v>
      </c>
      <c r="E21" s="10"/>
      <c r="F21" s="10"/>
      <c r="G21" s="10"/>
      <c r="H21" s="10"/>
      <c r="I21" s="10"/>
      <c r="J21" s="10"/>
      <c r="K21"/>
    </row>
    <row r="22" spans="1:13" ht="14.5" x14ac:dyDescent="0.35">
      <c r="A22" s="11"/>
      <c r="B22" s="14"/>
      <c r="C22" s="14"/>
      <c r="D22" s="14"/>
      <c r="E22" s="10"/>
      <c r="F22" s="10"/>
      <c r="G22" s="10"/>
      <c r="H22" s="10"/>
      <c r="I22" s="10"/>
      <c r="J22" s="10"/>
      <c r="K22"/>
    </row>
    <row r="23" spans="1:13" ht="14.5" x14ac:dyDescent="0.35">
      <c r="A23" s="11" t="s">
        <v>11</v>
      </c>
      <c r="B23" s="14">
        <v>3940000</v>
      </c>
      <c r="C23" s="14">
        <v>9100000</v>
      </c>
      <c r="D23" s="14">
        <f>SUM(B23:C23)</f>
        <v>13040000</v>
      </c>
      <c r="E23" s="10"/>
      <c r="F23" s="10"/>
      <c r="G23" s="10"/>
      <c r="H23" s="10"/>
      <c r="I23" s="10"/>
      <c r="J23" s="10"/>
      <c r="K23"/>
    </row>
    <row r="24" spans="1:13" ht="14.5" x14ac:dyDescent="0.35">
      <c r="A24" s="11"/>
      <c r="B24" s="17"/>
      <c r="C24" s="17"/>
      <c r="D24" s="17"/>
      <c r="E24" s="10"/>
      <c r="F24" s="10"/>
      <c r="G24" s="10"/>
      <c r="H24" s="10"/>
      <c r="I24" s="10"/>
      <c r="J24" s="10"/>
      <c r="K24"/>
    </row>
    <row r="25" spans="1:13" ht="14.5" x14ac:dyDescent="0.35">
      <c r="A25" s="11"/>
      <c r="B25" s="14"/>
      <c r="C25" s="14"/>
      <c r="D25" s="14"/>
      <c r="E25" s="10"/>
      <c r="F25" s="10"/>
      <c r="G25" s="10"/>
      <c r="H25" s="10"/>
      <c r="I25" s="10"/>
      <c r="J25" s="10"/>
      <c r="K25"/>
    </row>
    <row r="26" spans="1:13" ht="24.75" customHeight="1" x14ac:dyDescent="0.35">
      <c r="A26" s="48" t="s">
        <v>45</v>
      </c>
      <c r="B26" s="49">
        <f>B14-B21+B23</f>
        <v>17833780</v>
      </c>
      <c r="C26" s="49">
        <f>C14-C21+C23</f>
        <v>10622253</v>
      </c>
      <c r="D26" s="49">
        <f>D14-D21+D23</f>
        <v>28456033</v>
      </c>
      <c r="E26" s="10"/>
      <c r="F26" s="10"/>
      <c r="G26" s="10"/>
      <c r="H26" s="10"/>
      <c r="I26" s="10"/>
      <c r="J26" s="10"/>
      <c r="K26"/>
    </row>
    <row r="27" spans="1:13" ht="14.5" x14ac:dyDescent="0.35">
      <c r="A27" s="11" t="s">
        <v>12</v>
      </c>
      <c r="B27" s="18">
        <f>B26/B14</f>
        <v>6.6034582197443542E-2</v>
      </c>
      <c r="C27" s="18">
        <f>C26/C14</f>
        <v>7.1568997962151298E-2</v>
      </c>
      <c r="D27" s="18">
        <f>D26/D14</f>
        <v>6.7997406744022104E-2</v>
      </c>
      <c r="E27" s="10"/>
      <c r="F27" s="10"/>
      <c r="G27" s="10"/>
      <c r="H27" s="10"/>
      <c r="I27" s="10"/>
      <c r="J27" s="10"/>
      <c r="K27"/>
    </row>
    <row r="28" spans="1:13" ht="14.5" x14ac:dyDescent="0.35">
      <c r="A28" s="10" t="s">
        <v>13</v>
      </c>
      <c r="B28" s="19">
        <v>98500</v>
      </c>
      <c r="C28" s="19">
        <v>26000</v>
      </c>
      <c r="D28" s="19">
        <f>SUM(B28:C28)</f>
        <v>124500</v>
      </c>
      <c r="E28" s="10"/>
      <c r="F28" s="10"/>
      <c r="G28" s="10"/>
      <c r="H28" s="10"/>
      <c r="I28" s="10"/>
      <c r="J28" s="10"/>
      <c r="K28"/>
    </row>
    <row r="29" spans="1:13" ht="14.5" x14ac:dyDescent="0.35">
      <c r="A29" s="10"/>
      <c r="B29" s="19"/>
      <c r="C29" s="19"/>
      <c r="D29" s="19"/>
      <c r="E29" s="19"/>
      <c r="F29" s="19"/>
      <c r="G29" s="19"/>
      <c r="H29" s="19"/>
      <c r="I29" s="19"/>
      <c r="J29" s="19"/>
      <c r="K29"/>
    </row>
    <row r="30" spans="1:13" ht="22.5" customHeight="1" x14ac:dyDescent="0.35">
      <c r="A30" s="48" t="s">
        <v>14</v>
      </c>
      <c r="B30" s="10"/>
      <c r="C30" s="10"/>
      <c r="D30" s="14"/>
      <c r="E30" s="14"/>
      <c r="F30" s="14"/>
      <c r="G30" s="10"/>
      <c r="H30" s="10"/>
      <c r="I30" s="10"/>
      <c r="J30" s="10"/>
      <c r="K30" s="3"/>
    </row>
    <row r="31" spans="1:13" ht="14.5" x14ac:dyDescent="0.35">
      <c r="A31" s="11"/>
      <c r="B31" s="20"/>
      <c r="C31" s="20"/>
      <c r="D31" s="21"/>
      <c r="E31" s="10"/>
      <c r="F31" s="22"/>
      <c r="G31" s="22"/>
      <c r="H31" s="10"/>
      <c r="I31" s="10"/>
      <c r="J31" s="10"/>
      <c r="K31" s="2"/>
    </row>
    <row r="32" spans="1:13" ht="43.5" x14ac:dyDescent="0.35">
      <c r="A32" s="45" t="s">
        <v>46</v>
      </c>
      <c r="B32" s="14">
        <f>D14</f>
        <v>418487033</v>
      </c>
      <c r="C32" s="23"/>
      <c r="D32" s="14"/>
      <c r="E32" s="10"/>
      <c r="F32" s="10"/>
      <c r="G32" s="10"/>
      <c r="H32" s="10"/>
      <c r="I32" s="10"/>
      <c r="J32" s="10"/>
      <c r="K32" s="7"/>
      <c r="L32"/>
      <c r="M32"/>
    </row>
    <row r="33" spans="1:13" ht="14.5" x14ac:dyDescent="0.35">
      <c r="A33" s="10" t="s">
        <v>15</v>
      </c>
      <c r="B33" s="14">
        <f>D26</f>
        <v>28456033</v>
      </c>
      <c r="C33" s="14"/>
      <c r="D33" s="14"/>
      <c r="E33" s="10"/>
      <c r="F33" s="10"/>
      <c r="G33" s="10"/>
      <c r="H33" s="10"/>
      <c r="I33" s="10"/>
      <c r="J33" s="10"/>
      <c r="K33" s="7"/>
      <c r="L33"/>
      <c r="M33"/>
    </row>
    <row r="34" spans="1:13" ht="14.5" x14ac:dyDescent="0.35">
      <c r="A34" s="10" t="s">
        <v>16</v>
      </c>
      <c r="B34" s="18">
        <f>B33/B32</f>
        <v>6.7997406744022104E-2</v>
      </c>
      <c r="C34" s="14"/>
      <c r="D34" s="14"/>
      <c r="E34" s="14"/>
      <c r="F34" s="10"/>
      <c r="G34" s="10"/>
      <c r="H34" s="10"/>
      <c r="I34" s="10"/>
      <c r="J34" s="10"/>
      <c r="K34" s="7"/>
      <c r="L34"/>
      <c r="M34"/>
    </row>
    <row r="35" spans="1:13" ht="14.5" x14ac:dyDescent="0.35">
      <c r="A35" s="10"/>
      <c r="B35" s="14"/>
      <c r="C35" s="14"/>
      <c r="D35" s="14"/>
      <c r="E35" s="14"/>
      <c r="F35" s="10"/>
      <c r="G35" s="10"/>
      <c r="H35" s="10"/>
      <c r="I35" s="10"/>
      <c r="J35" s="10"/>
      <c r="K35" s="7"/>
      <c r="L35"/>
      <c r="M35"/>
    </row>
    <row r="36" spans="1:13" ht="14.5" x14ac:dyDescent="0.35">
      <c r="A36" s="10"/>
      <c r="B36" s="24"/>
      <c r="C36" s="14"/>
      <c r="D36" s="14"/>
      <c r="E36" s="14"/>
      <c r="F36" s="14"/>
      <c r="G36" s="10"/>
      <c r="H36" s="10"/>
      <c r="I36" s="10"/>
      <c r="J36" s="10"/>
      <c r="K36" s="7"/>
      <c r="L36"/>
      <c r="M36"/>
    </row>
    <row r="37" spans="1:13" ht="14.5" x14ac:dyDescent="0.35">
      <c r="A37" s="10"/>
      <c r="B37" s="10"/>
      <c r="C37" s="10"/>
      <c r="D37" s="14"/>
      <c r="E37" s="14"/>
      <c r="F37" s="10"/>
      <c r="G37" s="10"/>
      <c r="H37" s="10"/>
      <c r="I37" s="10"/>
      <c r="J37" s="10"/>
      <c r="K37" s="7"/>
      <c r="L37"/>
      <c r="M37"/>
    </row>
    <row r="38" spans="1:13" ht="14.5" x14ac:dyDescent="0.35">
      <c r="A38" s="11" t="s">
        <v>17</v>
      </c>
      <c r="B38" s="14">
        <f>IF(B33&gt;0,-SUM(E47:E51),-SUM(E56:E58))</f>
        <v>-11716551.68</v>
      </c>
      <c r="C38" s="14"/>
      <c r="D38" s="14"/>
      <c r="E38" s="14"/>
      <c r="F38" s="14"/>
      <c r="G38" s="10"/>
      <c r="H38" s="10"/>
      <c r="I38" s="14"/>
      <c r="J38" s="10"/>
      <c r="K38" s="7"/>
      <c r="L38"/>
      <c r="M38"/>
    </row>
    <row r="39" spans="1:13" ht="14.5" x14ac:dyDescent="0.35">
      <c r="A39" s="25"/>
      <c r="B39" s="14"/>
      <c r="C39" s="10"/>
      <c r="D39" s="14"/>
      <c r="E39" s="14"/>
      <c r="F39" s="10"/>
      <c r="G39" s="10"/>
      <c r="H39" s="10"/>
      <c r="I39" s="14"/>
      <c r="J39" s="10"/>
      <c r="K39" s="7"/>
      <c r="L39"/>
      <c r="M39"/>
    </row>
    <row r="40" spans="1:13" ht="14.5" x14ac:dyDescent="0.35">
      <c r="A40" s="25" t="s">
        <v>39</v>
      </c>
      <c r="B40" s="14">
        <v>1000000</v>
      </c>
      <c r="C40" s="10"/>
      <c r="D40" s="14"/>
      <c r="E40" s="14"/>
      <c r="F40" s="10"/>
      <c r="G40" s="10"/>
      <c r="H40" s="10"/>
      <c r="I40" s="14"/>
      <c r="J40" s="10"/>
      <c r="K40" s="7"/>
      <c r="L40"/>
      <c r="M40"/>
    </row>
    <row r="41" spans="1:13" ht="14.5" x14ac:dyDescent="0.35">
      <c r="A41" s="25"/>
      <c r="B41" s="14"/>
      <c r="C41" s="10"/>
      <c r="D41" s="14"/>
      <c r="E41" s="14"/>
      <c r="F41" s="10"/>
      <c r="G41" s="10"/>
      <c r="H41" s="10"/>
      <c r="I41" s="14"/>
      <c r="J41" s="10"/>
      <c r="K41" s="7"/>
      <c r="L41"/>
      <c r="M41"/>
    </row>
    <row r="42" spans="1:13" ht="14.5" x14ac:dyDescent="0.35">
      <c r="A42" s="11" t="s">
        <v>18</v>
      </c>
      <c r="B42" s="14">
        <f>SUM(B38,B40)/0.98-SUM(B38,B40)</f>
        <v>-218705.13632653095</v>
      </c>
      <c r="C42" s="26"/>
      <c r="D42" s="14"/>
      <c r="E42" s="10"/>
      <c r="F42" s="10"/>
      <c r="G42" s="10"/>
      <c r="H42" s="10"/>
      <c r="I42" s="10"/>
      <c r="J42" s="10"/>
      <c r="K42" s="7"/>
      <c r="L42"/>
      <c r="M42"/>
    </row>
    <row r="43" spans="1:13" ht="15" thickBot="1" x14ac:dyDescent="0.4">
      <c r="A43" s="11" t="s">
        <v>19</v>
      </c>
      <c r="B43" s="27">
        <f>SUM(B38+B40+B42)</f>
        <v>-10935256.816326531</v>
      </c>
      <c r="C43" s="10"/>
      <c r="D43" s="10"/>
      <c r="E43" s="10"/>
      <c r="F43" s="10"/>
      <c r="G43" s="10"/>
      <c r="H43" s="10"/>
      <c r="I43" s="10"/>
      <c r="J43" s="10"/>
      <c r="K43" s="7"/>
      <c r="L43"/>
      <c r="M43"/>
    </row>
    <row r="44" spans="1:13" ht="15" thickTop="1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7"/>
      <c r="L44"/>
      <c r="M44"/>
    </row>
    <row r="45" spans="1:13" ht="14.5" x14ac:dyDescent="0.35">
      <c r="A45" s="10"/>
      <c r="B45" s="14"/>
      <c r="C45" s="28"/>
      <c r="D45" s="28" t="s">
        <v>20</v>
      </c>
      <c r="E45" s="28"/>
      <c r="F45" s="28"/>
      <c r="G45" s="28"/>
      <c r="H45" s="10"/>
      <c r="I45" s="10"/>
      <c r="J45" s="10"/>
      <c r="K45" s="2"/>
    </row>
    <row r="46" spans="1:13" ht="14.5" x14ac:dyDescent="0.35">
      <c r="A46" s="10" t="s">
        <v>21</v>
      </c>
      <c r="B46" s="10" t="s">
        <v>22</v>
      </c>
      <c r="C46" s="28" t="s">
        <v>23</v>
      </c>
      <c r="D46" s="28" t="s">
        <v>24</v>
      </c>
      <c r="E46" s="28" t="s">
        <v>25</v>
      </c>
      <c r="F46" s="28"/>
      <c r="G46" s="28" t="s">
        <v>26</v>
      </c>
      <c r="H46" s="10"/>
      <c r="I46" s="10"/>
      <c r="J46" s="28"/>
      <c r="K46" s="2"/>
    </row>
    <row r="47" spans="1:13" ht="14.5" x14ac:dyDescent="0.35">
      <c r="A47" s="10"/>
      <c r="B47" s="29" t="s">
        <v>27</v>
      </c>
      <c r="C47" s="30">
        <v>0</v>
      </c>
      <c r="D47" s="31">
        <f>IF(G47&lt;=0,0,IF($B$32*0.02&gt;G47,G47,$B$32*0.02))</f>
        <v>8369740.6600000001</v>
      </c>
      <c r="E47" s="31">
        <f>+C47*D47</f>
        <v>0</v>
      </c>
      <c r="F47" s="10"/>
      <c r="G47" s="32">
        <f>+IF(B33&lt;0,0,B33)</f>
        <v>28456033</v>
      </c>
      <c r="H47" s="32"/>
      <c r="I47" s="10"/>
      <c r="J47" s="31"/>
      <c r="K47" s="2"/>
    </row>
    <row r="48" spans="1:13" ht="14.5" x14ac:dyDescent="0.35">
      <c r="A48" s="10"/>
      <c r="B48" s="29" t="s">
        <v>28</v>
      </c>
      <c r="C48" s="30">
        <v>0.5</v>
      </c>
      <c r="D48" s="31">
        <f>IF(G48&lt;=0,0,IF($B$32*0.04&gt;G48,G48,$B$32*0.04))</f>
        <v>16739481.32</v>
      </c>
      <c r="E48" s="31">
        <f>+C48*D48</f>
        <v>8369740.6600000001</v>
      </c>
      <c r="F48" s="10"/>
      <c r="G48" s="32">
        <f>+G47-D47</f>
        <v>20086292.34</v>
      </c>
      <c r="H48" s="32"/>
      <c r="I48" s="10"/>
      <c r="J48" s="31"/>
      <c r="K48" s="2"/>
    </row>
    <row r="49" spans="1:11" ht="14.5" x14ac:dyDescent="0.35">
      <c r="A49" s="10"/>
      <c r="B49" s="29" t="s">
        <v>29</v>
      </c>
      <c r="C49" s="30">
        <v>1</v>
      </c>
      <c r="D49" s="31">
        <f>IF(G49&lt;=0,0,IF($B$32*0.94&gt;G49,G49,$B$32*0.94))</f>
        <v>3346811.0199999996</v>
      </c>
      <c r="E49" s="31">
        <f>+C49*D49</f>
        <v>3346811.0199999996</v>
      </c>
      <c r="F49" s="10"/>
      <c r="G49" s="32">
        <f>+G48-D48</f>
        <v>3346811.0199999996</v>
      </c>
      <c r="H49" s="24"/>
      <c r="I49" s="10"/>
      <c r="J49" s="31"/>
      <c r="K49" s="2"/>
    </row>
    <row r="50" spans="1:11" ht="29.25" customHeight="1" x14ac:dyDescent="0.35">
      <c r="A50" s="10"/>
      <c r="B50" s="29"/>
      <c r="C50" s="30"/>
      <c r="D50" s="31"/>
      <c r="E50" s="31"/>
      <c r="F50" s="10"/>
      <c r="G50" s="32"/>
      <c r="H50" s="32"/>
      <c r="I50" s="10"/>
      <c r="J50" s="31"/>
      <c r="K50" s="2"/>
    </row>
    <row r="51" spans="1:11" ht="14.5" x14ac:dyDescent="0.35">
      <c r="A51" s="10"/>
      <c r="B51" s="29"/>
      <c r="C51" s="30"/>
      <c r="D51" s="31"/>
      <c r="E51" s="31"/>
      <c r="F51" s="10"/>
      <c r="G51" s="32"/>
      <c r="H51" s="32"/>
      <c r="I51" s="10"/>
      <c r="J51" s="31"/>
      <c r="K51" s="2"/>
    </row>
    <row r="52" spans="1:11" ht="14.5" x14ac:dyDescent="0.35">
      <c r="A52" s="10"/>
      <c r="B52" s="29"/>
      <c r="C52" s="29"/>
      <c r="D52" s="10"/>
      <c r="E52" s="32"/>
      <c r="F52" s="10"/>
      <c r="G52" s="10"/>
      <c r="H52" s="10"/>
      <c r="I52" s="10"/>
      <c r="J52" s="10"/>
      <c r="K52" s="2"/>
    </row>
    <row r="53" spans="1:11" ht="14.5" x14ac:dyDescent="0.3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2"/>
    </row>
    <row r="54" spans="1:11" ht="14.5" x14ac:dyDescent="0.35">
      <c r="A54" s="10"/>
      <c r="B54" s="14"/>
      <c r="C54" s="28"/>
      <c r="D54" s="28" t="s">
        <v>30</v>
      </c>
      <c r="E54" s="28"/>
      <c r="F54" s="28"/>
      <c r="G54" s="28"/>
      <c r="H54" s="10"/>
      <c r="I54" s="10"/>
      <c r="J54" s="33"/>
      <c r="K54" s="2"/>
    </row>
    <row r="55" spans="1:11" ht="14.5" x14ac:dyDescent="0.35">
      <c r="A55" s="10" t="s">
        <v>21</v>
      </c>
      <c r="B55" s="10" t="s">
        <v>31</v>
      </c>
      <c r="C55" s="28" t="s">
        <v>23</v>
      </c>
      <c r="D55" s="28" t="s">
        <v>32</v>
      </c>
      <c r="E55" s="28" t="s">
        <v>33</v>
      </c>
      <c r="F55" s="28"/>
      <c r="G55" s="28" t="s">
        <v>26</v>
      </c>
      <c r="H55" s="10"/>
      <c r="I55" s="10"/>
      <c r="J55" s="33"/>
      <c r="K55" s="2"/>
    </row>
    <row r="56" spans="1:11" ht="14.5" x14ac:dyDescent="0.35">
      <c r="A56" s="10"/>
      <c r="B56" s="29" t="s">
        <v>27</v>
      </c>
      <c r="C56" s="30">
        <v>0</v>
      </c>
      <c r="D56" s="31">
        <f>IF(G56&gt;0,0,IF(-$B$32*0.02&lt;G56,G56,-$B$32*0.02))</f>
        <v>0</v>
      </c>
      <c r="E56" s="31">
        <f>+D56*C56</f>
        <v>0</v>
      </c>
      <c r="F56" s="10"/>
      <c r="G56" s="32">
        <f>+IF(B33&gt;0,0,B33)</f>
        <v>0</v>
      </c>
      <c r="H56" s="32"/>
      <c r="I56" s="10"/>
      <c r="J56" s="31"/>
      <c r="K56" s="2"/>
    </row>
    <row r="57" spans="1:11" ht="27" customHeight="1" x14ac:dyDescent="0.35">
      <c r="A57" s="10"/>
      <c r="B57" s="29" t="s">
        <v>34</v>
      </c>
      <c r="C57" s="30">
        <v>1</v>
      </c>
      <c r="D57" s="31">
        <f>IF(G57&gt;0,0,IF(-$B$32*0.98&lt;G57,G57,-$B$32*0.98))</f>
        <v>0</v>
      </c>
      <c r="E57" s="31">
        <f>+D57*C57</f>
        <v>0</v>
      </c>
      <c r="F57" s="10"/>
      <c r="G57" s="32">
        <f>+G56-D56</f>
        <v>0</v>
      </c>
      <c r="H57" s="32"/>
      <c r="I57" s="10"/>
      <c r="J57" s="31"/>
      <c r="K57" s="2"/>
    </row>
    <row r="58" spans="1:11" ht="14.5" x14ac:dyDescent="0.35">
      <c r="A58" s="10"/>
      <c r="B58" s="29"/>
      <c r="C58" s="30"/>
      <c r="D58" s="31"/>
      <c r="E58" s="31"/>
      <c r="F58" s="10"/>
      <c r="G58" s="32"/>
      <c r="H58" s="32"/>
      <c r="I58" s="10"/>
      <c r="J58" s="31"/>
      <c r="K58" s="2"/>
    </row>
    <row r="59" spans="1:11" ht="15" thickBot="1" x14ac:dyDescent="0.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2"/>
    </row>
    <row r="60" spans="1:11" customFormat="1" ht="14.5" x14ac:dyDescent="0.35">
      <c r="A60" s="34" t="s">
        <v>35</v>
      </c>
      <c r="B60" s="35"/>
      <c r="C60" s="35"/>
      <c r="D60" s="35"/>
      <c r="E60" s="35"/>
      <c r="F60" s="35"/>
      <c r="G60" s="35"/>
      <c r="H60" s="35"/>
      <c r="I60" s="36"/>
      <c r="J60" s="10"/>
      <c r="K60" s="7"/>
    </row>
    <row r="61" spans="1:11" customFormat="1" ht="14.5" x14ac:dyDescent="0.35">
      <c r="A61" s="37" t="s">
        <v>38</v>
      </c>
      <c r="B61" s="10"/>
      <c r="C61" s="10"/>
      <c r="D61" s="10"/>
      <c r="E61" s="10"/>
      <c r="F61" s="10"/>
      <c r="G61" s="10"/>
      <c r="H61" s="10"/>
      <c r="I61" s="38"/>
      <c r="J61" s="10"/>
      <c r="K61" s="7"/>
    </row>
    <row r="62" spans="1:11" customFormat="1" ht="14.5" x14ac:dyDescent="0.35">
      <c r="A62" s="37" t="s">
        <v>40</v>
      </c>
      <c r="B62" s="10"/>
      <c r="C62" s="10"/>
      <c r="D62" s="10"/>
      <c r="E62" s="10"/>
      <c r="F62" s="10"/>
      <c r="G62" s="10"/>
      <c r="H62" s="10"/>
      <c r="I62" s="38"/>
      <c r="J62" s="10"/>
      <c r="K62" s="7"/>
    </row>
    <row r="63" spans="1:11" customFormat="1" ht="14.5" x14ac:dyDescent="0.35">
      <c r="A63" s="37" t="s">
        <v>52</v>
      </c>
      <c r="B63" s="10"/>
      <c r="C63" s="10"/>
      <c r="D63" s="10"/>
      <c r="E63" s="10"/>
      <c r="F63" s="10"/>
      <c r="G63" s="10"/>
      <c r="H63" s="10"/>
      <c r="I63" s="38"/>
      <c r="J63" s="10"/>
      <c r="K63" s="7"/>
    </row>
    <row r="64" spans="1:11" customFormat="1" ht="14.5" x14ac:dyDescent="0.35">
      <c r="A64" s="37" t="s">
        <v>36</v>
      </c>
      <c r="B64" s="10"/>
      <c r="C64" s="10"/>
      <c r="D64" s="10"/>
      <c r="E64" s="10"/>
      <c r="F64" s="10"/>
      <c r="G64" s="10"/>
      <c r="H64" s="10"/>
      <c r="I64" s="38"/>
      <c r="J64" s="10"/>
      <c r="K64" s="7"/>
    </row>
    <row r="65" spans="1:11" customFormat="1" ht="14.5" x14ac:dyDescent="0.35">
      <c r="A65" s="37" t="s">
        <v>48</v>
      </c>
      <c r="B65" s="10"/>
      <c r="C65" s="10"/>
      <c r="D65" s="10"/>
      <c r="E65" s="10"/>
      <c r="F65" s="10"/>
      <c r="G65" s="10"/>
      <c r="H65" s="10"/>
      <c r="I65" s="38"/>
      <c r="J65" s="10"/>
      <c r="K65" s="7"/>
    </row>
    <row r="66" spans="1:11" ht="14.5" x14ac:dyDescent="0.35">
      <c r="A66" s="37" t="s">
        <v>51</v>
      </c>
      <c r="B66" s="10"/>
      <c r="C66" s="10"/>
      <c r="D66" s="10"/>
      <c r="E66" s="10"/>
      <c r="F66" s="10"/>
      <c r="G66" s="10"/>
      <c r="H66" s="10"/>
      <c r="I66" s="38"/>
      <c r="J66" s="10"/>
      <c r="K66" s="2"/>
    </row>
    <row r="67" spans="1:11" ht="14.5" x14ac:dyDescent="0.35">
      <c r="A67" s="39" t="s">
        <v>49</v>
      </c>
      <c r="B67" s="10"/>
      <c r="C67" s="10"/>
      <c r="D67" s="10"/>
      <c r="E67" s="10"/>
      <c r="F67" s="10"/>
      <c r="G67" s="10"/>
      <c r="H67" s="10"/>
      <c r="I67" s="38"/>
      <c r="J67" s="10"/>
      <c r="K67" s="2"/>
    </row>
    <row r="68" spans="1:11" ht="15" thickBot="1" x14ac:dyDescent="0.4">
      <c r="A68" s="42"/>
      <c r="B68" s="43"/>
      <c r="C68" s="43"/>
      <c r="D68" s="43"/>
      <c r="E68" s="43"/>
      <c r="F68" s="43"/>
      <c r="G68" s="43"/>
      <c r="H68" s="43"/>
      <c r="I68" s="44"/>
      <c r="J68" s="10"/>
      <c r="K68" s="2"/>
    </row>
    <row r="69" spans="1:11" ht="15.5" x14ac:dyDescent="0.35">
      <c r="A69" s="9"/>
      <c r="B69" s="8"/>
      <c r="C69" s="8"/>
      <c r="D69" s="8"/>
      <c r="E69" s="8"/>
      <c r="F69" s="8"/>
      <c r="G69" s="8"/>
      <c r="H69" s="8"/>
      <c r="I69" s="8"/>
      <c r="J69" s="2"/>
      <c r="K69" s="2"/>
    </row>
  </sheetData>
  <pageMargins left="0.75" right="0.75" top="1.2192129629629629" bottom="0.73906249999999996" header="0.5" footer="0.5"/>
  <pageSetup scale="44" orientation="landscape" r:id="rId1"/>
  <headerFooter alignWithMargins="0">
    <oddHeader xml:space="preserve">&amp;L&amp;G&amp;C&amp;"-,Bold"&amp;12&amp;K369992AHCCCS CONTRACTOR OPERATIONS MANUAL - 
POLICY 301 - ATTACHMENT A -
ALTCS E/PD PROGRAM TIERED RECONCILIATION - EXAMPLE
FOR THE CONTRACT YEAR ENDED 09/30/xx
AS OF: xx/xx/xx
</oddHeader>
    <oddFooter>&amp;L&amp;"-,Regular"&amp;K369992Effective Dates: 10/01/18, 10/01/23
Approval Dates: 10/18/18, 05/18/23, 05/13/24&amp;C&amp;"-,Bold"&amp;11&amp;K369992 301 - Attachment A - 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98c3d9e-a56e-434b-bb6a-7c6f06128eeb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CB2E9DD614A43A66932E7A29982D5" ma:contentTypeVersion="12" ma:contentTypeDescription="Create a new document." ma:contentTypeScope="" ma:versionID="0012f38aaf82e692d702ba282e00ff98">
  <xsd:schema xmlns:xsd="http://www.w3.org/2001/XMLSchema" xmlns:xs="http://www.w3.org/2001/XMLSchema" xmlns:p="http://schemas.microsoft.com/office/2006/metadata/properties" xmlns:ns2="898c3d9e-a56e-434b-bb6a-7c6f06128eeb" xmlns:ns3="5539627f-a073-49ae-920d-28f8649be131" targetNamespace="http://schemas.microsoft.com/office/2006/metadata/properties" ma:root="true" ma:fieldsID="1d8c7e88609f0777e1718430eac787c0" ns2:_="" ns3:_="">
    <xsd:import namespace="898c3d9e-a56e-434b-bb6a-7c6f06128eeb"/>
    <xsd:import namespace="5539627f-a073-49ae-920d-28f8649be1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c3d9e-a56e-434b-bb6a-7c6f06128e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9627f-a073-49ae-920d-28f8649be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0D4CBE-E1B1-4F0F-AE4C-437118240F5B}">
  <ds:schemaRefs>
    <ds:schemaRef ds:uri="http://schemas.microsoft.com/office/2006/documentManagement/types"/>
    <ds:schemaRef ds:uri="http://purl.org/dc/elements/1.1/"/>
    <ds:schemaRef ds:uri="http://www.w3.org/XML/1998/namespace"/>
    <ds:schemaRef ds:uri="fa328e85-1231-4692-ab8d-fba2a139eb09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52a80b62-27cb-4b8e-ad5c-9ed813b8c946"/>
  </ds:schemaRefs>
</ds:datastoreItem>
</file>

<file path=customXml/itemProps2.xml><?xml version="1.0" encoding="utf-8"?>
<ds:datastoreItem xmlns:ds="http://schemas.openxmlformats.org/officeDocument/2006/customXml" ds:itemID="{C108D6C6-9695-4029-937F-606EECFA949D}"/>
</file>

<file path=customXml/itemProps3.xml><?xml version="1.0" encoding="utf-8"?>
<ds:datastoreItem xmlns:ds="http://schemas.openxmlformats.org/officeDocument/2006/customXml" ds:itemID="{1B41A793-70C5-49E3-8B50-B8686E951E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Reconciliation Calculation</vt:lpstr>
    </vt:vector>
  </TitlesOfParts>
  <Company>AHCCCS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ACOM POLICY 301 ATTACHMENT A</dc:title>
  <dc:creator>Voogd, Leanna</dc:creator>
  <cp:lastModifiedBy>Nagtalon, Robert</cp:lastModifiedBy>
  <cp:lastPrinted>2024-05-17T01:00:53Z</cp:lastPrinted>
  <dcterms:created xsi:type="dcterms:W3CDTF">2018-09-13T04:15:52Z</dcterms:created>
  <dcterms:modified xsi:type="dcterms:W3CDTF">2025-11-20T18:08:50Z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0x010100F11CB2E9DD614A43A66932E7A29982D5</vt:lpwstr>
  </property>
  <property fmtid="{D5CDD505-2E9C-101B-9397-08002B2CF9AE}" pid="3" name="WorkflowChangePath">
    <vt:lpwstr>173d42c7-3487-41a1-8f37-2b3815e72e09,24;</vt:lpwstr>
  </property>
  <property fmtid="{D5CDD505-2E9C-101B-9397-08002B2CF9AE}" pid="4" name="APC">
    <vt:bool>false</vt:bool>
  </property>
  <property fmtid="{D5CDD505-2E9C-101B-9397-08002B2CF9AE}" pid="5" name="APC0">
    <vt:bool>false</vt:bool>
  </property>
  <property fmtid="{D5CDD505-2E9C-101B-9397-08002B2CF9AE}" pid="6" name="Checked Out">
    <vt:bool>false</vt:bool>
  </property>
  <property fmtid="{D5CDD505-2E9C-101B-9397-08002B2CF9AE}" pid="7" name="AD Alternate 2">
    <vt:lpwstr/>
  </property>
  <property fmtid="{D5CDD505-2E9C-101B-9397-08002B2CF9AE}" pid="8" name="AD Alternate 1">
    <vt:lpwstr/>
  </property>
  <property fmtid="{D5CDD505-2E9C-101B-9397-08002B2CF9AE}" pid="9" name="AD1">
    <vt:lpwstr/>
  </property>
  <property fmtid="{D5CDD505-2E9C-101B-9397-08002B2CF9AE}" pid="10" name="IntWorkflow">
    <vt:lpwstr/>
  </property>
  <property fmtid="{D5CDD505-2E9C-101B-9397-08002B2CF9AE}" pid="11" name="AMPM Chapter test">
    <vt:lpwstr>Chapter 100</vt:lpwstr>
  </property>
  <property fmtid="{D5CDD505-2E9C-101B-9397-08002B2CF9AE}" pid="12" name="AD2">
    <vt:lpwstr/>
  </property>
  <property fmtid="{D5CDD505-2E9C-101B-9397-08002B2CF9AE}" pid="13" name="Urgent">
    <vt:bool>false</vt:bool>
  </property>
  <property fmtid="{D5CDD505-2E9C-101B-9397-08002B2CF9AE}" pid="14" name="Order">
    <vt:r8>214700</vt:r8>
  </property>
  <property fmtid="{D5CDD505-2E9C-101B-9397-08002B2CF9AE}" pid="15" name="xd_Signature">
    <vt:bool>false</vt:bool>
  </property>
  <property fmtid="{D5CDD505-2E9C-101B-9397-08002B2CF9AE}" pid="16" name="xd_ProgID">
    <vt:lpwstr/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  <property fmtid="{D5CDD505-2E9C-101B-9397-08002B2CF9AE}" pid="21" name="SharedWithUsers">
    <vt:lpwstr/>
  </property>
</Properties>
</file>