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_CandP/Manuals/ACOM/311 ACOM 10-01-21 - end date/"/>
    </mc:Choice>
  </mc:AlternateContent>
  <xr:revisionPtr revIDLastSave="20" documentId="13_ncr:1_{7BF58217-54EB-43B5-A93F-EBC5CC2EB36E}" xr6:coauthVersionLast="47" xr6:coauthVersionMax="47" xr10:uidLastSave="{98E45F01-A3B3-4C16-A4D6-49128A935C81}"/>
  <bookViews>
    <workbookView xWindow="-20685" yWindow="2790" windowWidth="21600" windowHeight="11385" xr2:uid="{00000000-000D-0000-FFFF-FFFF00000000}"/>
  </bookViews>
  <sheets>
    <sheet name="Reconciliation Calculation" sheetId="1" r:id="rId1"/>
  </sheets>
  <externalReferences>
    <externalReference r:id="rId2"/>
  </externalReferences>
  <definedNames>
    <definedName name="Bound">[1]Inputs!$B$6</definedName>
    <definedName name="ReconPercent">[1]Inputs!$B$4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J22" i="1" l="1"/>
  <c r="I22" i="1"/>
  <c r="H22" i="1"/>
  <c r="G22" i="1"/>
  <c r="F22" i="1"/>
  <c r="E22" i="1"/>
  <c r="D22" i="1"/>
  <c r="C22" i="1"/>
  <c r="K9" i="1" l="1"/>
  <c r="K24" i="1" l="1"/>
  <c r="K21" i="1"/>
  <c r="K20" i="1"/>
  <c r="K19" i="1"/>
  <c r="K18" i="1"/>
  <c r="B22" i="1"/>
  <c r="K12" i="1"/>
  <c r="I11" i="1"/>
  <c r="H11" i="1"/>
  <c r="G11" i="1"/>
  <c r="F11" i="1"/>
  <c r="E11" i="1"/>
  <c r="D11" i="1"/>
  <c r="C11" i="1"/>
  <c r="B11" i="1"/>
  <c r="K10" i="1"/>
  <c r="K8" i="1"/>
  <c r="J7" i="1"/>
  <c r="I7" i="1"/>
  <c r="H7" i="1"/>
  <c r="G7" i="1"/>
  <c r="F7" i="1"/>
  <c r="E7" i="1"/>
  <c r="D7" i="1"/>
  <c r="C7" i="1"/>
  <c r="B7" i="1"/>
  <c r="K6" i="1"/>
  <c r="K5" i="1"/>
  <c r="K4" i="1"/>
  <c r="G13" i="1" l="1"/>
  <c r="G14" i="1"/>
  <c r="G26" i="1" s="1"/>
  <c r="G27" i="1" s="1"/>
  <c r="H13" i="1"/>
  <c r="H14" i="1"/>
  <c r="H26" i="1" s="1"/>
  <c r="H27" i="1" s="1"/>
  <c r="J13" i="1"/>
  <c r="J14" i="1" s="1"/>
  <c r="J26" i="1" s="1"/>
  <c r="D13" i="1"/>
  <c r="D14" i="1"/>
  <c r="D26" i="1" s="1"/>
  <c r="D27" i="1" s="1"/>
  <c r="B14" i="1"/>
  <c r="C13" i="1"/>
  <c r="C14" i="1"/>
  <c r="K11" i="1"/>
  <c r="B13" i="1"/>
  <c r="F13" i="1"/>
  <c r="F14" i="1" s="1"/>
  <c r="K7" i="1"/>
  <c r="E13" i="1"/>
  <c r="I13" i="1"/>
  <c r="I14" i="1" s="1"/>
  <c r="C26" i="1"/>
  <c r="C27" i="1" s="1"/>
  <c r="K17" i="1"/>
  <c r="K22" i="1" s="1"/>
  <c r="I26" i="1" l="1"/>
  <c r="I27" i="1" s="1"/>
  <c r="F26" i="1"/>
  <c r="F27" i="1" s="1"/>
  <c r="E14" i="1"/>
  <c r="E26" i="1" s="1"/>
  <c r="E27" i="1" s="1"/>
  <c r="B26" i="1"/>
  <c r="B27" i="1" s="1"/>
  <c r="J27" i="1"/>
  <c r="K13" i="1"/>
  <c r="K14" i="1" s="1"/>
  <c r="B35" i="1" l="1"/>
  <c r="K26" i="1"/>
  <c r="K31" i="1" l="1"/>
  <c r="B36" i="1" s="1"/>
  <c r="K27" i="1"/>
  <c r="G50" i="1" l="1"/>
  <c r="D50" i="1" s="1"/>
  <c r="G51" i="1" s="1"/>
  <c r="D51" i="1" s="1"/>
  <c r="G52" i="1" s="1"/>
  <c r="D52" i="1" s="1"/>
  <c r="G59" i="1"/>
  <c r="D59" i="1" s="1"/>
  <c r="G60" i="1" s="1"/>
  <c r="D60" i="1" s="1"/>
  <c r="B37" i="1"/>
  <c r="E50" i="1" l="1"/>
  <c r="E59" i="1"/>
  <c r="E60" i="1" l="1"/>
  <c r="E52" i="1" l="1"/>
  <c r="E51" i="1"/>
  <c r="B41" i="1" l="1"/>
  <c r="B45" i="1" s="1"/>
  <c r="B46" i="1" s="1"/>
</calcChain>
</file>

<file path=xl/sharedStrings.xml><?xml version="1.0" encoding="utf-8"?>
<sst xmlns="http://schemas.openxmlformats.org/spreadsheetml/2006/main" count="73" uniqueCount="68">
  <si>
    <t>Other Adjustments</t>
  </si>
  <si>
    <t>TOTAL</t>
  </si>
  <si>
    <t>Prospective Capitation</t>
  </si>
  <si>
    <t>Delivery Supplemental Payments</t>
  </si>
  <si>
    <t>Less: Administrative Component</t>
  </si>
  <si>
    <t>Less: Premium Tax Component</t>
  </si>
  <si>
    <t>Plus: Subcapitated/Block Purchase Expense</t>
  </si>
  <si>
    <t>Less: CN1 Code 05 Encounters</t>
  </si>
  <si>
    <t>Member Months</t>
  </si>
  <si>
    <t>Adjusted Net Profit (Loss) to be reconciled</t>
  </si>
  <si>
    <t>Total Profit/(Loss) to be Reconciled</t>
  </si>
  <si>
    <t>Amount Due to (from) Contractor:</t>
  </si>
  <si>
    <t>Premium Tax</t>
  </si>
  <si>
    <t>Net Amount Due to (from) Contractor:</t>
  </si>
  <si>
    <t>Amount</t>
  </si>
  <si>
    <t>Recon Amount Due to/From Calculation</t>
  </si>
  <si>
    <t>Excess Profit</t>
  </si>
  <si>
    <t>Recoup. %</t>
  </si>
  <si>
    <t>Overpaid</t>
  </si>
  <si>
    <t>Recoupment</t>
  </si>
  <si>
    <t>Calcs</t>
  </si>
  <si>
    <t>&lt;=2%</t>
  </si>
  <si>
    <t>2% &lt; x &lt;= 6%</t>
  </si>
  <si>
    <t xml:space="preserve"> x &gt; 6%</t>
  </si>
  <si>
    <t xml:space="preserve">Amount </t>
  </si>
  <si>
    <t>Excess Loss</t>
  </si>
  <si>
    <t>Underpaid</t>
  </si>
  <si>
    <t>Reimburse</t>
  </si>
  <si>
    <t>&gt; 2%</t>
  </si>
  <si>
    <t>Assumptions:</t>
  </si>
  <si>
    <t>3) Reinsurance Payments are based on actual reinsurance payments for dates of service within the reconciliation time frame.</t>
  </si>
  <si>
    <t>4) Administrative Component is the awarded admin rate for all risk groups except those where rate is set by AHCCCCS.  The administrative component for rates set by AHCCCS will be at</t>
  </si>
  <si>
    <t>Net Capitation (Net of Admin Component, HIPF Capitation Adj, APSI, and Premium Tax Component)</t>
  </si>
  <si>
    <t>Less: Alternative Payment Model Withhold</t>
  </si>
  <si>
    <t>Medical Expense Completion</t>
  </si>
  <si>
    <t xml:space="preserve">     the amount built into the cap rates.  </t>
  </si>
  <si>
    <t xml:space="preserve">6) Subcapitated/Block Purchase expenses are self reported from Quarterly Financial statements. </t>
  </si>
  <si>
    <t>Profit/(Loss) % of Net Capitation</t>
  </si>
  <si>
    <t>PPC Capitation</t>
  </si>
  <si>
    <t>Medical Expense</t>
  </si>
  <si>
    <t>8) Pharmacy Benefit Manager Component is self-reported in the Quarterly Financials in the footnotes of line 81305-01.</t>
  </si>
  <si>
    <t>Less:  Access to Professional Service Initiative (APSI) Capitation (CYE 19 only)</t>
  </si>
  <si>
    <t>Less:  APSI Expenses (CYE 19 only)</t>
  </si>
  <si>
    <t>5) The enhanced portion of capitation for APSI and the payment from the Contractor to provider due to APSI is not included in the reconciliation (CYE19 only).</t>
  </si>
  <si>
    <t>1) Total Capitation includes PPC and Prospective Capitation and Delivery Supplemental Payments net of Alternative Payment Model Withhold for dates of service within the reconciliation time frame.</t>
  </si>
  <si>
    <t xml:space="preserve">2) Medical Expenses include all PPC and Prospective fully adjudicated and approved encounters for dates of service within the reconciliation time frame. </t>
  </si>
  <si>
    <t xml:space="preserve">    All COVID-19 vaccine and vaccination administration amounts for CYE 22 will be removed since these will be cost settled in accordance to ACOM Policy 302.</t>
  </si>
  <si>
    <t>7) All encounters with CN 1 code of 05 have been excluded from this reconciliation, since these should either be included in the self reported Subcapitated/Block Purchase expenses.</t>
  </si>
  <si>
    <t>PROSPECTIVE</t>
  </si>
  <si>
    <t>AGE &lt;1</t>
  </si>
  <si>
    <t>AGE 1-20</t>
  </si>
  <si>
    <t>AGE 21+</t>
  </si>
  <si>
    <t>DUALS</t>
  </si>
  <si>
    <t>SSI WITHOUT MEDICARE</t>
  </si>
  <si>
    <t>KIDSCARE</t>
  </si>
  <si>
    <t xml:space="preserve">ADULTS &lt;/= 106%         </t>
  </si>
  <si>
    <t>ADULTS &gt; 106%FPL</t>
  </si>
  <si>
    <t>OTHER ADJUSTMENTS</t>
  </si>
  <si>
    <t>CAPITATION</t>
  </si>
  <si>
    <t>TOTAL CAPITATION</t>
  </si>
  <si>
    <t>NET CAPITATION</t>
  </si>
  <si>
    <t>EXPENSE</t>
  </si>
  <si>
    <t>NET MEDICAL EXPENSE</t>
  </si>
  <si>
    <t>REINSURANCE (RI) PAYMENTS</t>
  </si>
  <si>
    <t>SETTLEMENT</t>
  </si>
  <si>
    <t>Less: Pharmacy Benefit Manager Component (CYE 20)</t>
  </si>
  <si>
    <t>Less:  Health Insurance Provider Fee Capitation Adjustment (CYE 20 and Prior)</t>
  </si>
  <si>
    <r>
      <t xml:space="preserve">Profit/(Loss) to be Reconciled  </t>
    </r>
    <r>
      <rPr>
        <sz val="11"/>
        <color theme="0"/>
        <rFont val="Calibri"/>
        <family val="2"/>
        <scheme val="minor"/>
      </rPr>
      <t>= (Net Cap - Net Exp + RI Pmt)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</si>
</sst>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.0000000_);_(&quot;$&quot;* \(#,##0.0000000\);_(&quot;$&quot;* &quot;-&quot;??_);_(@_)"/>
    <numFmt numFmtId="168" formatCode="_(&quot;$&quot;* #,##0_);_(&quot;$&quot;* \(#,##0\);_(&quot;$&quot;* &quot;-&quot;??_);_(@_)"/>
    <numFmt numFmtId="169" formatCode="&quot;$&quot;#,##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8DC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indent="1"/>
    </xf>
    <xf numFmtId="44" fontId="4" fillId="0" borderId="0" xfId="0" applyNumberFormat="1" applyFont="1" applyFill="1"/>
    <xf numFmtId="44" fontId="4" fillId="0" borderId="1" xfId="0" applyNumberFormat="1" applyFont="1" applyFill="1" applyBorder="1"/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0" fontId="4" fillId="0" borderId="0" xfId="0" quotePrefix="1" applyFont="1" applyFill="1" applyAlignment="1">
      <alignment horizontal="left" indent="1"/>
    </xf>
    <xf numFmtId="0" fontId="3" fillId="0" borderId="0" xfId="0" applyFont="1" applyFill="1"/>
    <xf numFmtId="44" fontId="4" fillId="0" borderId="0" xfId="0" applyNumberFormat="1" applyFont="1" applyFill="1" applyBorder="1"/>
    <xf numFmtId="10" fontId="4" fillId="0" borderId="0" xfId="3" applyNumberFormat="1" applyFont="1" applyFill="1"/>
    <xf numFmtId="165" fontId="4" fillId="0" borderId="0" xfId="3" applyNumberFormat="1" applyFont="1" applyFill="1"/>
    <xf numFmtId="44" fontId="4" fillId="0" borderId="0" xfId="3" applyNumberFormat="1" applyFont="1" applyFill="1"/>
    <xf numFmtId="7" fontId="4" fillId="0" borderId="0" xfId="4" applyNumberFormat="1" applyFont="1" applyFill="1"/>
    <xf numFmtId="44" fontId="4" fillId="0" borderId="2" xfId="3" applyNumberFormat="1" applyFont="1" applyFill="1" applyBorder="1"/>
    <xf numFmtId="43" fontId="4" fillId="0" borderId="0" xfId="0" applyNumberFormat="1" applyFont="1" applyFill="1"/>
    <xf numFmtId="44" fontId="4" fillId="0" borderId="0" xfId="2" applyFont="1" applyFill="1" applyBorder="1"/>
    <xf numFmtId="10" fontId="4" fillId="0" borderId="0" xfId="3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165" fontId="4" fillId="0" borderId="0" xfId="1" applyNumberFormat="1" applyFont="1" applyFill="1"/>
    <xf numFmtId="166" fontId="4" fillId="0" borderId="0" xfId="2" applyNumberFormat="1" applyFont="1" applyFill="1"/>
    <xf numFmtId="0" fontId="3" fillId="0" borderId="0" xfId="0" applyFont="1" applyFill="1" applyAlignment="1">
      <alignment wrapText="1"/>
    </xf>
    <xf numFmtId="167" fontId="4" fillId="0" borderId="0" xfId="0" applyNumberFormat="1" applyFont="1" applyFill="1"/>
    <xf numFmtId="44" fontId="4" fillId="0" borderId="3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/>
    <xf numFmtId="168" fontId="4" fillId="0" borderId="0" xfId="2" applyNumberFormat="1" applyFont="1" applyFill="1"/>
    <xf numFmtId="9" fontId="4" fillId="0" borderId="0" xfId="0" applyNumberFormat="1" applyFont="1" applyFill="1"/>
    <xf numFmtId="9" fontId="4" fillId="0" borderId="0" xfId="3" applyFont="1" applyFill="1" applyBorder="1"/>
    <xf numFmtId="169" fontId="4" fillId="0" borderId="0" xfId="2" applyNumberFormat="1" applyFont="1" applyFill="1" applyBorder="1" applyAlignment="1">
      <alignment horizontal="center"/>
    </xf>
    <xf numFmtId="0" fontId="3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quotePrefix="1" applyFont="1" applyFill="1" applyBorder="1" applyAlignment="1">
      <alignment horizontal="left"/>
    </xf>
    <xf numFmtId="0" fontId="4" fillId="0" borderId="8" xfId="0" applyFont="1" applyFill="1" applyBorder="1"/>
    <xf numFmtId="0" fontId="4" fillId="0" borderId="7" xfId="0" applyFont="1" applyFill="1" applyBorder="1"/>
    <xf numFmtId="0" fontId="4" fillId="0" borderId="7" xfId="0" quotePrefix="1" applyFont="1" applyFill="1" applyBorder="1" applyAlignment="1">
      <alignment horizontal="left" vertical="top"/>
    </xf>
    <xf numFmtId="0" fontId="4" fillId="0" borderId="9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1" xfId="0" applyFont="1" applyFill="1" applyBorder="1"/>
    <xf numFmtId="0" fontId="5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44" fontId="6" fillId="2" borderId="0" xfId="0" applyNumberFormat="1" applyFont="1" applyFill="1" applyBorder="1"/>
  </cellXfs>
  <cellStyles count="8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6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2F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l\Acute\CY12%20Cap%20Development\Cognos\Recons\2010\ProsRecon2010%20w%20Upd%20RI%20and%20Admin%20@%20bid%20Dynamic%20TX%20Model%20Rev%2007-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s"/>
      <sheetName val="Condensed Summary"/>
      <sheetName val="Admin %"/>
      <sheetName val="Overall Summary"/>
      <sheetName val="APIPASummary"/>
      <sheetName val="APIPADetail"/>
      <sheetName val="Care1stSummary"/>
      <sheetName val="Care1stDetail"/>
      <sheetName val="BridgewaySummary"/>
      <sheetName val="BridgewayDetail"/>
      <sheetName val="HCASummary"/>
      <sheetName val="HCADetail"/>
      <sheetName val="MaricopaSummary"/>
      <sheetName val="MaricopaDetail"/>
      <sheetName val="MercySummary"/>
      <sheetName val="MercyDetail"/>
      <sheetName val="PHPSummary"/>
      <sheetName val="PHPDetail"/>
      <sheetName val="PimaSummary"/>
      <sheetName val="PimaDetail"/>
      <sheetName val="UFCSummary"/>
      <sheetName val="UFCDetail"/>
    </sheetNames>
    <sheetDataSet>
      <sheetData sheetId="0" refreshError="1"/>
      <sheetData sheetId="1" refreshError="1">
        <row r="4">
          <cell r="B4">
            <v>0.02</v>
          </cell>
        </row>
        <row r="6">
          <cell r="B6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view="pageLayout" topLeftCell="A67" zoomScale="90" zoomScaleNormal="80" zoomScalePageLayoutView="90" workbookViewId="0">
      <selection activeCell="A78" sqref="A78"/>
    </sheetView>
  </sheetViews>
  <sheetFormatPr defaultColWidth="9.140625" defaultRowHeight="15" x14ac:dyDescent="0.25"/>
  <cols>
    <col min="1" max="1" width="88.85546875" style="1" customWidth="1"/>
    <col min="2" max="2" width="22" style="1" bestFit="1" customWidth="1"/>
    <col min="3" max="4" width="23.140625" style="1" bestFit="1" customWidth="1"/>
    <col min="5" max="7" width="22" style="1" bestFit="1" customWidth="1"/>
    <col min="8" max="8" width="22.7109375" style="1" bestFit="1" customWidth="1"/>
    <col min="9" max="9" width="22.85546875" style="1" bestFit="1" customWidth="1"/>
    <col min="10" max="10" width="20.140625" style="1" customWidth="1"/>
    <col min="11" max="11" width="23.5703125" style="1" bestFit="1" customWidth="1"/>
    <col min="12" max="12" width="11.5703125" style="1" bestFit="1" customWidth="1"/>
    <col min="13" max="13" width="12.85546875" style="1" bestFit="1" customWidth="1"/>
    <col min="14" max="14" width="10.7109375" style="1" bestFit="1" customWidth="1"/>
    <col min="15" max="16384" width="9.140625" style="1"/>
  </cols>
  <sheetData>
    <row r="1" spans="1:14" ht="48.75" customHeight="1" x14ac:dyDescent="0.25">
      <c r="A1" s="47" t="s">
        <v>48</v>
      </c>
      <c r="B1" s="48" t="s">
        <v>49</v>
      </c>
      <c r="C1" s="48" t="s">
        <v>50</v>
      </c>
      <c r="D1" s="49" t="s">
        <v>51</v>
      </c>
      <c r="E1" s="49" t="s">
        <v>52</v>
      </c>
      <c r="F1" s="50" t="s">
        <v>53</v>
      </c>
      <c r="G1" s="50" t="s">
        <v>54</v>
      </c>
      <c r="H1" s="50" t="s">
        <v>55</v>
      </c>
      <c r="I1" s="50" t="s">
        <v>56</v>
      </c>
      <c r="J1" s="50" t="s">
        <v>57</v>
      </c>
      <c r="K1" s="48" t="s">
        <v>1</v>
      </c>
    </row>
    <row r="2" spans="1:14" x14ac:dyDescent="0.25">
      <c r="A2" s="2"/>
      <c r="B2" s="3"/>
      <c r="C2" s="3"/>
      <c r="D2" s="4"/>
      <c r="E2" s="4"/>
      <c r="F2" s="3"/>
      <c r="G2" s="3"/>
      <c r="H2" s="5"/>
      <c r="I2" s="3"/>
      <c r="J2" s="3"/>
      <c r="K2" s="3"/>
    </row>
    <row r="3" spans="1:14" x14ac:dyDescent="0.25">
      <c r="A3" s="2" t="s">
        <v>58</v>
      </c>
      <c r="B3" s="3"/>
      <c r="C3" s="3"/>
      <c r="D3" s="4"/>
      <c r="E3" s="4"/>
      <c r="F3" s="3"/>
      <c r="G3" s="3"/>
      <c r="H3" s="5"/>
      <c r="I3" s="3"/>
      <c r="J3" s="3"/>
      <c r="K3" s="3"/>
    </row>
    <row r="4" spans="1:14" x14ac:dyDescent="0.25">
      <c r="A4" s="6" t="s">
        <v>2</v>
      </c>
      <c r="B4" s="7">
        <v>58400000</v>
      </c>
      <c r="C4" s="7">
        <v>128300000</v>
      </c>
      <c r="D4" s="7">
        <v>132700000</v>
      </c>
      <c r="E4" s="7">
        <v>41500000</v>
      </c>
      <c r="F4" s="7">
        <v>40000000</v>
      </c>
      <c r="G4" s="7">
        <v>29200000</v>
      </c>
      <c r="H4" s="7">
        <v>112300000</v>
      </c>
      <c r="I4" s="7">
        <v>8000000</v>
      </c>
      <c r="J4" s="7">
        <v>0</v>
      </c>
      <c r="K4" s="7">
        <f>+SUM(B4:J4)</f>
        <v>550400000</v>
      </c>
    </row>
    <row r="5" spans="1:14" x14ac:dyDescent="0.25">
      <c r="A5" s="6" t="s">
        <v>38</v>
      </c>
      <c r="B5" s="7">
        <v>550000</v>
      </c>
      <c r="C5" s="7">
        <v>7532000</v>
      </c>
      <c r="D5" s="7">
        <v>15325000</v>
      </c>
      <c r="E5" s="7">
        <v>750000</v>
      </c>
      <c r="F5" s="7">
        <v>2555000</v>
      </c>
      <c r="G5" s="7">
        <v>0</v>
      </c>
      <c r="H5" s="7">
        <v>755000</v>
      </c>
      <c r="I5" s="7">
        <v>699000</v>
      </c>
      <c r="J5" s="7"/>
      <c r="K5" s="7">
        <f>+SUM(B5:J5)</f>
        <v>28166000</v>
      </c>
    </row>
    <row r="6" spans="1:14" x14ac:dyDescent="0.25">
      <c r="A6" s="6" t="s">
        <v>3</v>
      </c>
      <c r="B6" s="8">
        <v>0</v>
      </c>
      <c r="C6" s="8">
        <v>0</v>
      </c>
      <c r="D6" s="8">
        <v>28400000</v>
      </c>
      <c r="E6" s="8">
        <v>0</v>
      </c>
      <c r="F6" s="8">
        <v>0</v>
      </c>
      <c r="G6" s="8">
        <v>100000</v>
      </c>
      <c r="H6" s="8">
        <v>700000</v>
      </c>
      <c r="I6" s="8">
        <v>0</v>
      </c>
      <c r="J6" s="8">
        <v>0</v>
      </c>
      <c r="K6" s="8">
        <f>+SUM(B6:J6)</f>
        <v>29200000</v>
      </c>
    </row>
    <row r="7" spans="1:14" x14ac:dyDescent="0.25">
      <c r="A7" s="9" t="s">
        <v>59</v>
      </c>
      <c r="B7" s="10">
        <f>SUM(B4:B6)</f>
        <v>58950000</v>
      </c>
      <c r="C7" s="10">
        <f t="shared" ref="C7:J7" si="0">SUM(C4:C6)</f>
        <v>135832000</v>
      </c>
      <c r="D7" s="10">
        <f t="shared" si="0"/>
        <v>176425000</v>
      </c>
      <c r="E7" s="10">
        <f t="shared" si="0"/>
        <v>42250000</v>
      </c>
      <c r="F7" s="10">
        <f t="shared" si="0"/>
        <v>42555000</v>
      </c>
      <c r="G7" s="10">
        <f t="shared" si="0"/>
        <v>29300000</v>
      </c>
      <c r="H7" s="10">
        <f t="shared" si="0"/>
        <v>113755000</v>
      </c>
      <c r="I7" s="10">
        <f t="shared" si="0"/>
        <v>8699000</v>
      </c>
      <c r="J7" s="10">
        <f t="shared" si="0"/>
        <v>0</v>
      </c>
      <c r="K7" s="10">
        <f>SUM(B7:J7)</f>
        <v>607766000</v>
      </c>
    </row>
    <row r="8" spans="1:14" x14ac:dyDescent="0.25">
      <c r="A8" s="6" t="s">
        <v>4</v>
      </c>
      <c r="B8" s="7">
        <v>4400000</v>
      </c>
      <c r="C8" s="7">
        <v>9500000</v>
      </c>
      <c r="D8" s="7">
        <v>11342560</v>
      </c>
      <c r="E8" s="7">
        <v>3100000</v>
      </c>
      <c r="F8" s="7">
        <v>3100000</v>
      </c>
      <c r="G8" s="7">
        <v>2107840</v>
      </c>
      <c r="H8" s="7">
        <v>8254880</v>
      </c>
      <c r="I8" s="7">
        <v>2638400</v>
      </c>
      <c r="J8" s="7">
        <v>0</v>
      </c>
      <c r="K8" s="7">
        <f>+SUM(B8:J8)</f>
        <v>44443680</v>
      </c>
      <c r="L8" s="7"/>
      <c r="M8" s="7"/>
      <c r="N8" s="7"/>
    </row>
    <row r="9" spans="1:14" x14ac:dyDescent="0.25">
      <c r="A9" s="11" t="s">
        <v>65</v>
      </c>
      <c r="B9" s="7">
        <v>25000</v>
      </c>
      <c r="C9" s="7">
        <v>35000</v>
      </c>
      <c r="D9" s="7">
        <v>45000</v>
      </c>
      <c r="E9" s="7">
        <v>22000</v>
      </c>
      <c r="F9" s="7">
        <v>25000</v>
      </c>
      <c r="G9" s="7">
        <v>35000</v>
      </c>
      <c r="H9" s="7">
        <v>45000</v>
      </c>
      <c r="I9" s="7">
        <v>22000</v>
      </c>
      <c r="J9" s="7">
        <v>0</v>
      </c>
      <c r="K9" s="7">
        <f>+SUM(B9:J9)</f>
        <v>254000</v>
      </c>
      <c r="L9" s="7"/>
      <c r="M9" s="7"/>
      <c r="N9" s="7"/>
    </row>
    <row r="10" spans="1:14" x14ac:dyDescent="0.25">
      <c r="A10" s="6" t="s">
        <v>66</v>
      </c>
      <c r="B10" s="7">
        <v>759200</v>
      </c>
      <c r="C10" s="7">
        <v>1667900</v>
      </c>
      <c r="D10" s="7">
        <v>1725100</v>
      </c>
      <c r="E10" s="7">
        <v>539500</v>
      </c>
      <c r="F10" s="7">
        <v>520000</v>
      </c>
      <c r="G10" s="7">
        <v>379600</v>
      </c>
      <c r="H10" s="7">
        <v>1459900</v>
      </c>
      <c r="I10" s="7">
        <v>104000</v>
      </c>
      <c r="J10" s="7">
        <v>0</v>
      </c>
      <c r="K10" s="7">
        <f>+SUM(B10:J10)</f>
        <v>7155200</v>
      </c>
      <c r="L10" s="7"/>
      <c r="M10" s="7"/>
      <c r="N10" s="7"/>
    </row>
    <row r="11" spans="1:14" x14ac:dyDescent="0.25">
      <c r="A11" s="6" t="s">
        <v>33</v>
      </c>
      <c r="B11" s="7">
        <f t="shared" ref="B11:I11" si="1">(B4-B10)*0.01</f>
        <v>576408</v>
      </c>
      <c r="C11" s="7">
        <f t="shared" si="1"/>
        <v>1266321</v>
      </c>
      <c r="D11" s="7">
        <f t="shared" si="1"/>
        <v>1309749</v>
      </c>
      <c r="E11" s="7">
        <f t="shared" si="1"/>
        <v>409605</v>
      </c>
      <c r="F11" s="7">
        <f t="shared" si="1"/>
        <v>394800</v>
      </c>
      <c r="G11" s="7">
        <f t="shared" si="1"/>
        <v>288204</v>
      </c>
      <c r="H11" s="7">
        <f t="shared" si="1"/>
        <v>1108401</v>
      </c>
      <c r="I11" s="7">
        <f t="shared" si="1"/>
        <v>78960</v>
      </c>
      <c r="J11" s="7"/>
      <c r="K11" s="7">
        <f>+SUM(B11:J11)</f>
        <v>5432448</v>
      </c>
      <c r="L11" s="7"/>
      <c r="M11" s="7"/>
      <c r="N11" s="7"/>
    </row>
    <row r="12" spans="1:14" x14ac:dyDescent="0.25">
      <c r="A12" s="11" t="s">
        <v>41</v>
      </c>
      <c r="B12" s="7">
        <v>467200</v>
      </c>
      <c r="C12" s="7">
        <v>1026400</v>
      </c>
      <c r="D12" s="7">
        <v>1061600</v>
      </c>
      <c r="E12" s="7">
        <v>332000</v>
      </c>
      <c r="F12" s="7">
        <v>320000</v>
      </c>
      <c r="G12" s="7">
        <v>233600</v>
      </c>
      <c r="H12" s="7">
        <v>898400</v>
      </c>
      <c r="I12" s="7">
        <v>64000</v>
      </c>
      <c r="J12" s="7">
        <v>0</v>
      </c>
      <c r="K12" s="7">
        <f>+SUM(B12:J12)</f>
        <v>4403200</v>
      </c>
      <c r="L12" s="7"/>
      <c r="M12" s="7"/>
      <c r="N12" s="7"/>
    </row>
    <row r="13" spans="1:14" x14ac:dyDescent="0.25">
      <c r="A13" s="6" t="s">
        <v>5</v>
      </c>
      <c r="B13" s="8">
        <f>B7*0.02</f>
        <v>1179000</v>
      </c>
      <c r="C13" s="8">
        <f t="shared" ref="C13:J13" si="2">C7*0.02</f>
        <v>2716640</v>
      </c>
      <c r="D13" s="8">
        <f t="shared" si="2"/>
        <v>3528500</v>
      </c>
      <c r="E13" s="8">
        <f t="shared" si="2"/>
        <v>845000</v>
      </c>
      <c r="F13" s="8">
        <f t="shared" si="2"/>
        <v>851100</v>
      </c>
      <c r="G13" s="8">
        <f t="shared" si="2"/>
        <v>586000</v>
      </c>
      <c r="H13" s="8">
        <f t="shared" si="2"/>
        <v>2275100</v>
      </c>
      <c r="I13" s="8">
        <f t="shared" si="2"/>
        <v>173980</v>
      </c>
      <c r="J13" s="8">
        <f t="shared" si="2"/>
        <v>0</v>
      </c>
      <c r="K13" s="8">
        <f>SUM(B13:J13)</f>
        <v>12155320</v>
      </c>
      <c r="M13" s="7"/>
    </row>
    <row r="14" spans="1:14" x14ac:dyDescent="0.25">
      <c r="A14" s="12" t="s">
        <v>60</v>
      </c>
      <c r="B14" s="10">
        <f>B7-SUM(B8:B13)</f>
        <v>51543192</v>
      </c>
      <c r="C14" s="10">
        <f t="shared" ref="C14:K14" si="3">C7-SUM(C8:C13)</f>
        <v>119619739</v>
      </c>
      <c r="D14" s="10">
        <f t="shared" si="3"/>
        <v>157412491</v>
      </c>
      <c r="E14" s="10">
        <f t="shared" si="3"/>
        <v>37001895</v>
      </c>
      <c r="F14" s="10">
        <f t="shared" si="3"/>
        <v>37344100</v>
      </c>
      <c r="G14" s="10">
        <f t="shared" si="3"/>
        <v>25669756</v>
      </c>
      <c r="H14" s="10">
        <f t="shared" si="3"/>
        <v>99713319</v>
      </c>
      <c r="I14" s="10">
        <f t="shared" si="3"/>
        <v>5617660</v>
      </c>
      <c r="J14" s="10">
        <f t="shared" si="3"/>
        <v>0</v>
      </c>
      <c r="K14" s="10">
        <f t="shared" si="3"/>
        <v>533922152</v>
      </c>
    </row>
    <row r="15" spans="1:14" x14ac:dyDescent="0.25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4" x14ac:dyDescent="0.25">
      <c r="A16" s="12" t="s">
        <v>61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3" x14ac:dyDescent="0.25">
      <c r="A17" s="6" t="s">
        <v>39</v>
      </c>
      <c r="B17" s="7">
        <f>58615000</f>
        <v>58615000</v>
      </c>
      <c r="C17" s="7">
        <v>109630000</v>
      </c>
      <c r="D17" s="7">
        <v>126550000</v>
      </c>
      <c r="E17" s="7">
        <v>41805000</v>
      </c>
      <c r="F17" s="7">
        <v>43630000</v>
      </c>
      <c r="G17" s="7">
        <v>25935000</v>
      </c>
      <c r="H17" s="7">
        <v>113240000</v>
      </c>
      <c r="I17" s="7">
        <v>28975000</v>
      </c>
      <c r="J17" s="7">
        <v>0</v>
      </c>
      <c r="K17" s="7">
        <f>+SUM(B17:J17)</f>
        <v>548380000</v>
      </c>
      <c r="M17" s="7"/>
    </row>
    <row r="18" spans="1:13" x14ac:dyDescent="0.25">
      <c r="A18" s="6" t="s">
        <v>34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f>+SUM(B18:J18)</f>
        <v>0</v>
      </c>
      <c r="M18" s="7"/>
    </row>
    <row r="19" spans="1:13" x14ac:dyDescent="0.25">
      <c r="A19" s="6" t="s">
        <v>6</v>
      </c>
      <c r="B19" s="7">
        <v>1000000</v>
      </c>
      <c r="C19" s="7">
        <v>500000</v>
      </c>
      <c r="D19" s="7">
        <v>500000</v>
      </c>
      <c r="E19" s="7">
        <v>700000</v>
      </c>
      <c r="F19" s="7">
        <v>100000</v>
      </c>
      <c r="G19" s="7">
        <v>600000</v>
      </c>
      <c r="H19" s="7">
        <v>900000</v>
      </c>
      <c r="I19" s="7">
        <v>400000</v>
      </c>
      <c r="J19" s="7"/>
      <c r="K19" s="7">
        <f>+SUM(B19:J19)</f>
        <v>4700000</v>
      </c>
    </row>
    <row r="20" spans="1:13" x14ac:dyDescent="0.25">
      <c r="A20" s="6" t="s">
        <v>7</v>
      </c>
      <c r="B20" s="13"/>
      <c r="C20" s="13">
        <v>0</v>
      </c>
      <c r="D20" s="13">
        <v>0</v>
      </c>
      <c r="E20" s="13">
        <v>1500</v>
      </c>
      <c r="F20" s="13">
        <v>25000</v>
      </c>
      <c r="G20" s="13">
        <v>0</v>
      </c>
      <c r="H20" s="13">
        <v>0</v>
      </c>
      <c r="I20" s="13">
        <v>0</v>
      </c>
      <c r="J20" s="13"/>
      <c r="K20" s="13">
        <f>+SUM(B20:J20)</f>
        <v>26500</v>
      </c>
    </row>
    <row r="21" spans="1:13" x14ac:dyDescent="0.25">
      <c r="A21" s="11" t="s">
        <v>42</v>
      </c>
      <c r="B21" s="8">
        <v>584000</v>
      </c>
      <c r="C21" s="8">
        <v>1083000</v>
      </c>
      <c r="D21" s="8">
        <v>1011000</v>
      </c>
      <c r="E21" s="8">
        <v>215000</v>
      </c>
      <c r="F21" s="8">
        <v>400000</v>
      </c>
      <c r="G21" s="8">
        <v>193000</v>
      </c>
      <c r="H21" s="8">
        <v>895325</v>
      </c>
      <c r="I21" s="8">
        <v>70250</v>
      </c>
      <c r="J21" s="8">
        <v>0</v>
      </c>
      <c r="K21" s="8">
        <f>+SUM(B21:J21)</f>
        <v>4451575</v>
      </c>
    </row>
    <row r="22" spans="1:13" x14ac:dyDescent="0.25">
      <c r="A22" s="12" t="s">
        <v>62</v>
      </c>
      <c r="B22" s="10">
        <f>B17+B18+B19-B20-B21</f>
        <v>59031000</v>
      </c>
      <c r="C22" s="10">
        <f t="shared" ref="C22:K22" si="4">C17+C18+C19-C20-C21</f>
        <v>109047000</v>
      </c>
      <c r="D22" s="10">
        <f t="shared" si="4"/>
        <v>126039000</v>
      </c>
      <c r="E22" s="10">
        <f t="shared" si="4"/>
        <v>42288500</v>
      </c>
      <c r="F22" s="10">
        <f t="shared" si="4"/>
        <v>43305000</v>
      </c>
      <c r="G22" s="10">
        <f t="shared" si="4"/>
        <v>26342000</v>
      </c>
      <c r="H22" s="10">
        <f t="shared" si="4"/>
        <v>113244675</v>
      </c>
      <c r="I22" s="10">
        <f t="shared" si="4"/>
        <v>29304750</v>
      </c>
      <c r="J22" s="10">
        <f t="shared" si="4"/>
        <v>0</v>
      </c>
      <c r="K22" s="10">
        <f t="shared" si="4"/>
        <v>548601925</v>
      </c>
    </row>
    <row r="23" spans="1:13" x14ac:dyDescent="0.25">
      <c r="A23" s="12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3" x14ac:dyDescent="0.25">
      <c r="A24" s="12" t="s">
        <v>63</v>
      </c>
      <c r="B24" s="7">
        <v>9200000</v>
      </c>
      <c r="C24" s="7">
        <v>4600000</v>
      </c>
      <c r="D24" s="7">
        <v>3300000</v>
      </c>
      <c r="E24" s="7">
        <v>4900000</v>
      </c>
      <c r="F24" s="7">
        <v>1300000</v>
      </c>
      <c r="G24" s="7">
        <v>300000</v>
      </c>
      <c r="H24" s="7">
        <v>21900000</v>
      </c>
      <c r="I24" s="7"/>
      <c r="J24" s="7">
        <v>0</v>
      </c>
      <c r="K24" s="7">
        <f>+SUM(B24:J24)</f>
        <v>45500000</v>
      </c>
    </row>
    <row r="25" spans="1:13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3" x14ac:dyDescent="0.25">
      <c r="A26" s="51" t="s">
        <v>67</v>
      </c>
      <c r="B26" s="52">
        <f>+B14-B22+B24</f>
        <v>1712192</v>
      </c>
      <c r="C26" s="52">
        <f t="shared" ref="C26:K26" si="5">+C14-C22+C24</f>
        <v>15172739</v>
      </c>
      <c r="D26" s="52">
        <f t="shared" si="5"/>
        <v>34673491</v>
      </c>
      <c r="E26" s="52">
        <f t="shared" si="5"/>
        <v>-386605</v>
      </c>
      <c r="F26" s="52">
        <f t="shared" si="5"/>
        <v>-4660900</v>
      </c>
      <c r="G26" s="52">
        <f t="shared" si="5"/>
        <v>-372244</v>
      </c>
      <c r="H26" s="52">
        <f t="shared" si="5"/>
        <v>8368644</v>
      </c>
      <c r="I26" s="52">
        <f t="shared" si="5"/>
        <v>-23687090</v>
      </c>
      <c r="J26" s="52">
        <f t="shared" si="5"/>
        <v>0</v>
      </c>
      <c r="K26" s="52">
        <f t="shared" si="5"/>
        <v>30820227</v>
      </c>
    </row>
    <row r="27" spans="1:13" x14ac:dyDescent="0.25">
      <c r="A27" s="12" t="s">
        <v>37</v>
      </c>
      <c r="B27" s="14">
        <f>B26/B14</f>
        <v>3.3218586850422456E-2</v>
      </c>
      <c r="C27" s="14">
        <f t="shared" ref="C27:K27" si="6">C26/C14</f>
        <v>0.12684143208170684</v>
      </c>
      <c r="D27" s="14">
        <f t="shared" si="6"/>
        <v>0.22027153486822085</v>
      </c>
      <c r="E27" s="14">
        <f t="shared" si="6"/>
        <v>-1.0448248664021127E-2</v>
      </c>
      <c r="F27" s="14">
        <f t="shared" si="6"/>
        <v>-0.12480954153400403</v>
      </c>
      <c r="G27" s="14">
        <f t="shared" si="6"/>
        <v>-1.4501267561717377E-2</v>
      </c>
      <c r="H27" s="14">
        <f t="shared" si="6"/>
        <v>8.3927042885815484E-2</v>
      </c>
      <c r="I27" s="14">
        <f t="shared" si="6"/>
        <v>-4.2165403388599527</v>
      </c>
      <c r="J27" s="14">
        <f>IF(J14=0,0,J26/J14)</f>
        <v>0</v>
      </c>
      <c r="K27" s="14">
        <f t="shared" si="6"/>
        <v>5.7724196092167383E-2</v>
      </c>
    </row>
    <row r="28" spans="1:13" x14ac:dyDescent="0.25">
      <c r="A28" s="1" t="s">
        <v>8</v>
      </c>
      <c r="B28" s="15">
        <v>150000</v>
      </c>
      <c r="C28" s="15">
        <v>1410000</v>
      </c>
      <c r="D28" s="15">
        <v>670000</v>
      </c>
      <c r="E28" s="15">
        <v>320000</v>
      </c>
      <c r="F28" s="15">
        <v>120000</v>
      </c>
      <c r="G28" s="15">
        <v>250000</v>
      </c>
      <c r="H28" s="15">
        <v>210000</v>
      </c>
      <c r="I28" s="15">
        <v>50000</v>
      </c>
      <c r="J28" s="15"/>
      <c r="K28" s="15">
        <v>4040000</v>
      </c>
    </row>
    <row r="29" spans="1:13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3" x14ac:dyDescent="0.25">
      <c r="A30" s="12"/>
      <c r="B30" s="14"/>
      <c r="C30" s="15"/>
      <c r="D30" s="15"/>
      <c r="E30" s="15"/>
      <c r="F30" s="15"/>
      <c r="G30" s="15"/>
      <c r="H30" s="15"/>
      <c r="I30" s="15"/>
      <c r="J30" s="15"/>
      <c r="K30" s="16"/>
    </row>
    <row r="31" spans="1:13" ht="15.75" thickBot="1" x14ac:dyDescent="0.3">
      <c r="A31" s="12" t="s">
        <v>9</v>
      </c>
      <c r="B31" s="17"/>
      <c r="C31" s="17"/>
      <c r="D31" s="17"/>
      <c r="E31" s="17"/>
      <c r="F31" s="17"/>
      <c r="G31" s="17"/>
      <c r="H31" s="17"/>
      <c r="I31" s="17"/>
      <c r="J31" s="14"/>
      <c r="K31" s="18">
        <f>K26+K30</f>
        <v>30820227</v>
      </c>
    </row>
    <row r="32" spans="1:13" ht="15.75" thickTop="1" x14ac:dyDescent="0.25">
      <c r="A32" s="12"/>
      <c r="C32" s="19"/>
      <c r="K32" s="13"/>
    </row>
    <row r="33" spans="1:11" x14ac:dyDescent="0.25">
      <c r="A33" s="51" t="s">
        <v>64</v>
      </c>
      <c r="D33" s="7"/>
      <c r="E33" s="7"/>
      <c r="F33" s="7"/>
      <c r="K33" s="7"/>
    </row>
    <row r="34" spans="1:11" x14ac:dyDescent="0.25">
      <c r="A34" s="12"/>
      <c r="B34" s="20"/>
      <c r="C34" s="20"/>
      <c r="D34" s="21"/>
      <c r="F34" s="22"/>
      <c r="G34" s="22"/>
    </row>
    <row r="35" spans="1:11" ht="30" x14ac:dyDescent="0.25">
      <c r="A35" s="23" t="s">
        <v>32</v>
      </c>
      <c r="B35" s="7">
        <f>K14</f>
        <v>533922152</v>
      </c>
      <c r="C35" s="24"/>
      <c r="D35" s="7"/>
    </row>
    <row r="36" spans="1:11" x14ac:dyDescent="0.25">
      <c r="A36" s="1" t="s">
        <v>10</v>
      </c>
      <c r="B36" s="7">
        <f>K31</f>
        <v>30820227</v>
      </c>
      <c r="C36" s="7"/>
      <c r="D36" s="7"/>
    </row>
    <row r="37" spans="1:11" x14ac:dyDescent="0.25">
      <c r="A37" s="1" t="s">
        <v>37</v>
      </c>
      <c r="B37" s="14">
        <f>B36/B35</f>
        <v>5.7724196092167383E-2</v>
      </c>
      <c r="C37" s="7"/>
      <c r="D37" s="7"/>
      <c r="E37" s="7"/>
    </row>
    <row r="38" spans="1:11" x14ac:dyDescent="0.25">
      <c r="B38" s="7"/>
      <c r="C38" s="7"/>
      <c r="D38" s="7"/>
    </row>
    <row r="39" spans="1:11" x14ac:dyDescent="0.25">
      <c r="B39" s="25"/>
      <c r="C39" s="7"/>
      <c r="D39" s="7"/>
    </row>
    <row r="40" spans="1:11" x14ac:dyDescent="0.25">
      <c r="D40" s="7"/>
      <c r="E40" s="7"/>
    </row>
    <row r="41" spans="1:11" x14ac:dyDescent="0.25">
      <c r="A41" s="12" t="s">
        <v>11</v>
      </c>
      <c r="B41" s="13">
        <f>IF(B36&gt;0,-SUM(E50:E54),-SUM(E59:E61))</f>
        <v>-10070891.98</v>
      </c>
      <c r="C41" s="7"/>
      <c r="D41" s="7"/>
      <c r="E41" s="7"/>
      <c r="F41" s="7"/>
      <c r="I41" s="7"/>
    </row>
    <row r="42" spans="1:11" x14ac:dyDescent="0.25">
      <c r="A42" s="12"/>
      <c r="B42" s="13"/>
      <c r="D42" s="7"/>
      <c r="E42" s="7"/>
      <c r="I42" s="7"/>
    </row>
    <row r="43" spans="1:11" x14ac:dyDescent="0.25">
      <c r="A43" s="12" t="s">
        <v>0</v>
      </c>
      <c r="B43" s="13">
        <v>1000000</v>
      </c>
      <c r="D43" s="7"/>
      <c r="E43" s="7"/>
    </row>
    <row r="44" spans="1:11" x14ac:dyDescent="0.25">
      <c r="A44" s="26"/>
      <c r="B44" s="13"/>
      <c r="D44" s="7"/>
      <c r="E44" s="7"/>
    </row>
    <row r="45" spans="1:11" x14ac:dyDescent="0.25">
      <c r="A45" s="12" t="s">
        <v>12</v>
      </c>
      <c r="B45" s="13">
        <f>SUM(B41,B43)/0.98-SUM(B41,B43)</f>
        <v>-185120.24448979646</v>
      </c>
      <c r="C45" s="27"/>
      <c r="D45" s="7"/>
    </row>
    <row r="46" spans="1:11" ht="15.75" thickBot="1" x14ac:dyDescent="0.3">
      <c r="A46" s="12" t="s">
        <v>13</v>
      </c>
      <c r="B46" s="28">
        <f>SUM(B41+B43+B45)</f>
        <v>-9256012.2244897969</v>
      </c>
      <c r="F46" s="29"/>
      <c r="G46" s="29"/>
      <c r="J46" s="30"/>
    </row>
    <row r="47" spans="1:11" ht="15.75" thickTop="1" x14ac:dyDescent="0.25">
      <c r="F47" s="29"/>
      <c r="G47" s="29"/>
      <c r="J47" s="31"/>
    </row>
    <row r="48" spans="1:11" x14ac:dyDescent="0.25">
      <c r="B48" s="7"/>
      <c r="C48" s="29"/>
      <c r="D48" s="29" t="s">
        <v>14</v>
      </c>
      <c r="E48" s="29"/>
      <c r="G48" s="32"/>
      <c r="H48" s="32"/>
      <c r="J48" s="33"/>
    </row>
    <row r="49" spans="1:10" x14ac:dyDescent="0.25">
      <c r="A49" s="1" t="s">
        <v>15</v>
      </c>
      <c r="B49" s="1" t="s">
        <v>16</v>
      </c>
      <c r="C49" s="29" t="s">
        <v>17</v>
      </c>
      <c r="D49" s="29" t="s">
        <v>18</v>
      </c>
      <c r="E49" s="29" t="s">
        <v>19</v>
      </c>
      <c r="G49" s="29" t="s">
        <v>20</v>
      </c>
      <c r="H49" s="32"/>
      <c r="J49" s="33"/>
    </row>
    <row r="50" spans="1:10" x14ac:dyDescent="0.25">
      <c r="B50" s="34" t="s">
        <v>21</v>
      </c>
      <c r="C50" s="35">
        <v>0</v>
      </c>
      <c r="D50" s="33">
        <f>IF(G50&lt;=0,0,IF($B$35*0.02&gt;G50,G50,$B$35*0.02))</f>
        <v>10678443.040000001</v>
      </c>
      <c r="E50" s="33">
        <f>+C50*D50</f>
        <v>0</v>
      </c>
      <c r="G50" s="32">
        <f>+IF(B36&lt;0,0,B36)</f>
        <v>30820227</v>
      </c>
      <c r="H50" s="25"/>
      <c r="J50" s="33"/>
    </row>
    <row r="51" spans="1:10" x14ac:dyDescent="0.25">
      <c r="B51" s="34" t="s">
        <v>22</v>
      </c>
      <c r="C51" s="35">
        <v>0.5</v>
      </c>
      <c r="D51" s="33">
        <f>IF(G51&lt;=0,0,IF($B$35*0.04&gt;G51,G51,$B$35*0.04))</f>
        <v>20141783.960000001</v>
      </c>
      <c r="E51" s="33">
        <f>+C51*D51</f>
        <v>10070891.98</v>
      </c>
      <c r="G51" s="32">
        <f>+G50-D50</f>
        <v>20141783.960000001</v>
      </c>
      <c r="H51" s="32"/>
      <c r="J51" s="33"/>
    </row>
    <row r="52" spans="1:10" x14ac:dyDescent="0.25">
      <c r="B52" s="34" t="s">
        <v>23</v>
      </c>
      <c r="C52" s="35">
        <v>1</v>
      </c>
      <c r="D52" s="33">
        <f>IF(G52&lt;=0,0,IF($B$35*0.94&gt;G52,G52,$B$35*0.94))</f>
        <v>0</v>
      </c>
      <c r="E52" s="33">
        <f>+C52*D52</f>
        <v>0</v>
      </c>
      <c r="G52" s="32">
        <f>+G51-D51</f>
        <v>0</v>
      </c>
      <c r="H52" s="32"/>
      <c r="J52" s="33"/>
    </row>
    <row r="53" spans="1:10" x14ac:dyDescent="0.25">
      <c r="B53" s="34"/>
      <c r="C53" s="35"/>
      <c r="D53" s="33"/>
      <c r="E53" s="33"/>
    </row>
    <row r="54" spans="1:10" x14ac:dyDescent="0.25">
      <c r="B54" s="34"/>
      <c r="C54" s="35"/>
      <c r="D54" s="33"/>
      <c r="E54" s="33"/>
    </row>
    <row r="55" spans="1:10" x14ac:dyDescent="0.25">
      <c r="B55" s="34"/>
      <c r="C55" s="34"/>
      <c r="E55" s="32"/>
      <c r="F55" s="29"/>
      <c r="G55" s="29"/>
      <c r="J55" s="36"/>
    </row>
    <row r="56" spans="1:10" x14ac:dyDescent="0.25">
      <c r="F56" s="29"/>
      <c r="G56" s="29"/>
      <c r="J56" s="36"/>
    </row>
    <row r="57" spans="1:10" x14ac:dyDescent="0.25">
      <c r="B57" s="7"/>
      <c r="C57" s="29"/>
      <c r="D57" s="29" t="s">
        <v>24</v>
      </c>
      <c r="E57" s="29"/>
      <c r="G57" s="32"/>
      <c r="H57" s="32"/>
      <c r="J57" s="33"/>
    </row>
    <row r="58" spans="1:10" x14ac:dyDescent="0.25">
      <c r="A58" s="1" t="s">
        <v>15</v>
      </c>
      <c r="B58" s="1" t="s">
        <v>25</v>
      </c>
      <c r="C58" s="29" t="s">
        <v>17</v>
      </c>
      <c r="D58" s="29" t="s">
        <v>26</v>
      </c>
      <c r="E58" s="29" t="s">
        <v>27</v>
      </c>
      <c r="G58" s="29" t="s">
        <v>20</v>
      </c>
      <c r="H58" s="32"/>
      <c r="J58" s="33"/>
    </row>
    <row r="59" spans="1:10" x14ac:dyDescent="0.25">
      <c r="B59" s="34" t="s">
        <v>21</v>
      </c>
      <c r="C59" s="35">
        <v>0</v>
      </c>
      <c r="D59" s="33">
        <f>IF(G59&gt;0,0,IF(-$B$35*0.02&lt;G59,G59,-$B$35*0.02))</f>
        <v>0</v>
      </c>
      <c r="E59" s="33">
        <f>+D59*C59</f>
        <v>0</v>
      </c>
      <c r="G59" s="32">
        <f>+IF(B36&gt;0,0,B36)</f>
        <v>0</v>
      </c>
      <c r="H59" s="32"/>
      <c r="J59" s="33"/>
    </row>
    <row r="60" spans="1:10" x14ac:dyDescent="0.25">
      <c r="B60" s="34" t="s">
        <v>28</v>
      </c>
      <c r="C60" s="35">
        <v>1</v>
      </c>
      <c r="D60" s="33">
        <f>IF(G60&gt;0,0,IF(-$B$35*0.98&lt;G60,G60,-$B$35*0.98))</f>
        <v>0</v>
      </c>
      <c r="E60" s="33">
        <f>+D60*C60</f>
        <v>0</v>
      </c>
      <c r="G60" s="32">
        <f>G59-D59</f>
        <v>0</v>
      </c>
      <c r="H60" s="32"/>
    </row>
    <row r="61" spans="1:10" x14ac:dyDescent="0.25">
      <c r="B61" s="34"/>
      <c r="C61" s="35"/>
      <c r="D61" s="33"/>
      <c r="E61" s="33"/>
      <c r="H61" s="32"/>
    </row>
    <row r="62" spans="1:10" x14ac:dyDescent="0.25">
      <c r="B62" s="34"/>
      <c r="C62" s="35"/>
      <c r="D62" s="33"/>
      <c r="E62" s="33"/>
    </row>
    <row r="63" spans="1:10" x14ac:dyDescent="0.25">
      <c r="B63" s="34"/>
      <c r="C63" s="35"/>
      <c r="D63" s="33"/>
      <c r="E63" s="33"/>
      <c r="F63" s="30"/>
      <c r="G63" s="30"/>
      <c r="H63" s="30"/>
    </row>
    <row r="64" spans="1:10" ht="15.75" thickBot="1" x14ac:dyDescent="0.3">
      <c r="F64" s="30"/>
      <c r="G64" s="30"/>
      <c r="H64" s="30"/>
    </row>
    <row r="65" spans="1:8" x14ac:dyDescent="0.25">
      <c r="A65" s="37" t="s">
        <v>29</v>
      </c>
      <c r="B65" s="38"/>
      <c r="C65" s="38"/>
      <c r="D65" s="38"/>
      <c r="E65" s="38"/>
      <c r="F65" s="39"/>
      <c r="G65" s="30"/>
      <c r="H65" s="30"/>
    </row>
    <row r="66" spans="1:8" x14ac:dyDescent="0.25">
      <c r="A66" s="40" t="s">
        <v>44</v>
      </c>
      <c r="B66" s="30"/>
      <c r="C66" s="30"/>
      <c r="D66" s="30"/>
      <c r="E66" s="30"/>
      <c r="F66" s="41"/>
      <c r="G66" s="30"/>
      <c r="H66" s="30"/>
    </row>
    <row r="67" spans="1:8" x14ac:dyDescent="0.25">
      <c r="A67" s="42" t="s">
        <v>45</v>
      </c>
      <c r="B67" s="30"/>
      <c r="C67" s="30"/>
      <c r="D67" s="30"/>
      <c r="E67" s="30"/>
      <c r="F67" s="41"/>
      <c r="G67" s="30"/>
      <c r="H67" s="30"/>
    </row>
    <row r="68" spans="1:8" x14ac:dyDescent="0.25">
      <c r="A68" s="42" t="s">
        <v>46</v>
      </c>
      <c r="B68" s="30"/>
      <c r="C68" s="30"/>
      <c r="D68" s="30"/>
      <c r="E68" s="30"/>
      <c r="F68" s="41"/>
      <c r="G68" s="30"/>
      <c r="H68" s="30"/>
    </row>
    <row r="69" spans="1:8" x14ac:dyDescent="0.25">
      <c r="A69" s="42" t="s">
        <v>30</v>
      </c>
      <c r="B69" s="30"/>
      <c r="C69" s="30"/>
      <c r="D69" s="30"/>
      <c r="E69" s="30"/>
      <c r="F69" s="41"/>
      <c r="G69" s="30"/>
      <c r="H69" s="30"/>
    </row>
    <row r="70" spans="1:8" x14ac:dyDescent="0.25">
      <c r="A70" s="42" t="s">
        <v>31</v>
      </c>
      <c r="B70" s="30"/>
      <c r="C70" s="30"/>
      <c r="D70" s="30"/>
      <c r="E70" s="30"/>
      <c r="F70" s="41"/>
      <c r="G70" s="30"/>
      <c r="H70" s="30"/>
    </row>
    <row r="71" spans="1:8" x14ac:dyDescent="0.25">
      <c r="A71" s="42" t="s">
        <v>35</v>
      </c>
      <c r="B71" s="30"/>
      <c r="C71" s="30"/>
      <c r="D71" s="30"/>
      <c r="E71" s="30"/>
      <c r="F71" s="41"/>
      <c r="G71" s="30"/>
      <c r="H71" s="30"/>
    </row>
    <row r="72" spans="1:8" x14ac:dyDescent="0.25">
      <c r="A72" s="40" t="s">
        <v>43</v>
      </c>
      <c r="B72" s="30"/>
      <c r="C72" s="30"/>
      <c r="D72" s="30"/>
      <c r="E72" s="30"/>
      <c r="F72" s="41"/>
      <c r="G72" s="30"/>
      <c r="H72" s="30"/>
    </row>
    <row r="73" spans="1:8" x14ac:dyDescent="0.25">
      <c r="A73" s="42" t="s">
        <v>36</v>
      </c>
      <c r="B73" s="30"/>
      <c r="C73" s="30"/>
      <c r="D73" s="30"/>
      <c r="E73" s="30"/>
      <c r="F73" s="41"/>
      <c r="G73" s="30"/>
      <c r="H73" s="30"/>
    </row>
    <row r="74" spans="1:8" ht="15" customHeight="1" x14ac:dyDescent="0.25">
      <c r="A74" s="43" t="s">
        <v>47</v>
      </c>
      <c r="B74" s="30"/>
      <c r="C74" s="30"/>
      <c r="D74" s="30"/>
      <c r="E74" s="30"/>
      <c r="F74" s="41"/>
    </row>
    <row r="75" spans="1:8" ht="17.25" customHeight="1" thickBot="1" x14ac:dyDescent="0.3">
      <c r="A75" s="44" t="s">
        <v>40</v>
      </c>
      <c r="B75" s="45"/>
      <c r="C75" s="45"/>
      <c r="D75" s="45"/>
      <c r="E75" s="45"/>
      <c r="F75" s="46"/>
    </row>
    <row r="76" spans="1:8" ht="12" customHeight="1" x14ac:dyDescent="0.25"/>
  </sheetData>
  <pageMargins left="0.75" right="0.75" top="1.0733333333333333" bottom="1" header="0.5" footer="0.5"/>
  <pageSetup scale="38" orientation="landscape" r:id="rId1"/>
  <headerFooter>
    <oddHeader xml:space="preserve">&amp;L&amp;G&amp;C&amp;"-,Bold"&amp;12&amp;K2F8DCBAHCCCS CONTRACTOR OPERATIONS MANUAL
 POLICY 311 - ATTACHMENT A -
ACC Program Tiered Reconciliation - Example
for the Contract Year Ended 09/30/xx
</oddHeader>
    <oddFooter>&amp;L&amp;"Calibri,Regular"&amp;K2F8DCBEffective Dates: 10/01/18, 10/01/19, 10/01/21, 09/30/22
Approval Dates: 10/18/18, 08/05/20, 08/06/21, 08/04/22&amp;C&amp;"-,Bold"&amp;11&amp;K2F8DCB 311 - Attachment A - Page &amp;P of &amp;N</oddFooter>
  </headerFooter>
  <ignoredErrors>
    <ignoredError sqref="J27 K7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OM 100 Document" ma:contentTypeID="0x010100FFD915685E493440824D0E6B41E63058002FB2C467047E6E4FABA483EBD05DC569" ma:contentTypeVersion="59" ma:contentTypeDescription="Create a new document." ma:contentTypeScope="" ma:versionID="502c59add88b8bd113dd6a81ff33e1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2A2CC9-80BC-4271-81AF-F5775CE73B7C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F3AC1A-0799-419B-9FE4-EF6B9525D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2113F-2ACF-4E74-9781-21BD40C74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Reconciliation Calculation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Layne, Cynthia</dc:creator>
  <cp:lastModifiedBy>Parra, Carol</cp:lastModifiedBy>
  <cp:lastPrinted>2022-07-28T15:25:28Z</cp:lastPrinted>
  <dcterms:created xsi:type="dcterms:W3CDTF">2018-09-13T04:33:40Z</dcterms:created>
  <dcterms:modified xsi:type="dcterms:W3CDTF">2022-09-23T16:33:26Z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0x010100FFD915685E493440824D0E6B41E63058002FB2C467047E6E4FABA483EBD05DC569</vt:lpwstr>
  </property>
  <property fmtid="{D5CDD505-2E9C-101B-9397-08002B2CF9AE}" pid="3" name="APC">
    <vt:bool>false</vt:bool>
  </property>
  <property fmtid="{D5CDD505-2E9C-101B-9397-08002B2CF9AE}" pid="4" name="APC0">
    <vt:bool>false</vt:bool>
  </property>
  <property fmtid="{D5CDD505-2E9C-101B-9397-08002B2CF9AE}" pid="5" name="Checked Out">
    <vt:bool>false</vt:bool>
  </property>
  <property fmtid="{D5CDD505-2E9C-101B-9397-08002B2CF9AE}" pid="6" name="AD Alternate 2">
    <vt:lpwstr/>
  </property>
  <property fmtid="{D5CDD505-2E9C-101B-9397-08002B2CF9AE}" pid="7" name="AD Alternate 1">
    <vt:lpwstr/>
  </property>
  <property fmtid="{D5CDD505-2E9C-101B-9397-08002B2CF9AE}" pid="8" name="AD1">
    <vt:lpwstr/>
  </property>
  <property fmtid="{D5CDD505-2E9C-101B-9397-08002B2CF9AE}" pid="9" name="IntWorkflow">
    <vt:lpwstr/>
  </property>
  <property fmtid="{D5CDD505-2E9C-101B-9397-08002B2CF9AE}" pid="10" name="AD2">
    <vt:lpwstr/>
  </property>
  <property fmtid="{D5CDD505-2E9C-101B-9397-08002B2CF9AE}" pid="11" name="Urgent">
    <vt:bool>false</vt:bool>
  </property>
  <property fmtid="{D5CDD505-2E9C-101B-9397-08002B2CF9AE}" pid="12" name="Order">
    <vt:r8>215100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SharedWithUsers">
    <vt:lpwstr/>
  </property>
  <property fmtid="{D5CDD505-2E9C-101B-9397-08002B2CF9AE}" pid="19" name="TriggerFlowInfo">
    <vt:lpwstr/>
  </property>
</Properties>
</file>